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Krycí list rozpočtu" sheetId="1" r:id="rId1"/>
    <sheet name="VORN" sheetId="2" state="hidden" r:id="rId2"/>
    <sheet name="Rozpočet - objekty" sheetId="3" r:id="rId3"/>
    <sheet name="Stavební rozpočet" sheetId="4" r:id="rId4"/>
  </sheets>
  <definedNames>
    <definedName name="vorn_sum">VORN!$I$45</definedName>
  </definedNames>
  <calcPr calcId="124519"/>
</workbook>
</file>

<file path=xl/calcChain.xml><?xml version="1.0" encoding="utf-8"?>
<calcChain xmlns="http://schemas.openxmlformats.org/spreadsheetml/2006/main">
  <c r="BJ621" i="4"/>
  <c r="BF621"/>
  <c r="BD621"/>
  <c r="AW621"/>
  <c r="AP621"/>
  <c r="AX621" s="1"/>
  <c r="AO621"/>
  <c r="BH621" s="1"/>
  <c r="AF621" s="1"/>
  <c r="AL621"/>
  <c r="AK621"/>
  <c r="AJ621"/>
  <c r="AH621"/>
  <c r="AE621"/>
  <c r="AD621"/>
  <c r="AC621"/>
  <c r="AB621"/>
  <c r="Z621"/>
  <c r="I621"/>
  <c r="BJ620"/>
  <c r="BF620"/>
  <c r="BD620"/>
  <c r="AP620"/>
  <c r="AX620" s="1"/>
  <c r="AO620"/>
  <c r="AW620" s="1"/>
  <c r="AK620"/>
  <c r="AJ620"/>
  <c r="AH620"/>
  <c r="AE620"/>
  <c r="AD620"/>
  <c r="AC620"/>
  <c r="AB620"/>
  <c r="Z620"/>
  <c r="I620"/>
  <c r="AL620" s="1"/>
  <c r="BJ619"/>
  <c r="BF619"/>
  <c r="BD619"/>
  <c r="AP619"/>
  <c r="AX619" s="1"/>
  <c r="AO619"/>
  <c r="AW619" s="1"/>
  <c r="AK619"/>
  <c r="AJ619"/>
  <c r="AH619"/>
  <c r="AE619"/>
  <c r="AD619"/>
  <c r="AC619"/>
  <c r="AB619"/>
  <c r="Z619"/>
  <c r="I619"/>
  <c r="AL619" s="1"/>
  <c r="BJ618"/>
  <c r="BF618"/>
  <c r="BD618"/>
  <c r="AX618"/>
  <c r="AP618"/>
  <c r="BI618" s="1"/>
  <c r="AG618" s="1"/>
  <c r="AO618"/>
  <c r="AW618" s="1"/>
  <c r="AK618"/>
  <c r="AJ618"/>
  <c r="AH618"/>
  <c r="AE618"/>
  <c r="AD618"/>
  <c r="AC618"/>
  <c r="AB618"/>
  <c r="Z618"/>
  <c r="I618"/>
  <c r="AL618" s="1"/>
  <c r="BJ617"/>
  <c r="BF617"/>
  <c r="BD617"/>
  <c r="AX617"/>
  <c r="AW617"/>
  <c r="BC617" s="1"/>
  <c r="AP617"/>
  <c r="BI617" s="1"/>
  <c r="AG617" s="1"/>
  <c r="AO617"/>
  <c r="BH617" s="1"/>
  <c r="AF617" s="1"/>
  <c r="AL617"/>
  <c r="AK617"/>
  <c r="AJ617"/>
  <c r="AH617"/>
  <c r="AE617"/>
  <c r="AD617"/>
  <c r="AC617"/>
  <c r="AB617"/>
  <c r="Z617"/>
  <c r="I617"/>
  <c r="BJ616"/>
  <c r="BF616"/>
  <c r="BD616"/>
  <c r="AW616"/>
  <c r="AP616"/>
  <c r="AX616" s="1"/>
  <c r="AO616"/>
  <c r="BH616" s="1"/>
  <c r="AF616" s="1"/>
  <c r="AK616"/>
  <c r="AJ616"/>
  <c r="AH616"/>
  <c r="AE616"/>
  <c r="AD616"/>
  <c r="AC616"/>
  <c r="AB616"/>
  <c r="Z616"/>
  <c r="I616"/>
  <c r="AL616" s="1"/>
  <c r="BJ615"/>
  <c r="BF615"/>
  <c r="BD615"/>
  <c r="AP615"/>
  <c r="AX615" s="1"/>
  <c r="AO615"/>
  <c r="AW615" s="1"/>
  <c r="AK615"/>
  <c r="AJ615"/>
  <c r="AH615"/>
  <c r="AE615"/>
  <c r="AD615"/>
  <c r="AC615"/>
  <c r="AB615"/>
  <c r="Z615"/>
  <c r="I615"/>
  <c r="AL615" s="1"/>
  <c r="BJ614"/>
  <c r="BF614"/>
  <c r="BD614"/>
  <c r="AX614"/>
  <c r="AP614"/>
  <c r="BI614" s="1"/>
  <c r="AG614" s="1"/>
  <c r="AO614"/>
  <c r="AW614" s="1"/>
  <c r="AK614"/>
  <c r="AJ614"/>
  <c r="AH614"/>
  <c r="AE614"/>
  <c r="AD614"/>
  <c r="AC614"/>
  <c r="AB614"/>
  <c r="Z614"/>
  <c r="I614"/>
  <c r="AL614" s="1"/>
  <c r="BJ613"/>
  <c r="BF613"/>
  <c r="BD613"/>
  <c r="AW613"/>
  <c r="AP613"/>
  <c r="AX613" s="1"/>
  <c r="AO613"/>
  <c r="BH613" s="1"/>
  <c r="AF613" s="1"/>
  <c r="AL613"/>
  <c r="AK613"/>
  <c r="AJ613"/>
  <c r="AH613"/>
  <c r="AE613"/>
  <c r="AD613"/>
  <c r="AC613"/>
  <c r="AB613"/>
  <c r="Z613"/>
  <c r="I613"/>
  <c r="BJ612"/>
  <c r="BF612"/>
  <c r="BD612"/>
  <c r="AP612"/>
  <c r="AX612" s="1"/>
  <c r="AO612"/>
  <c r="AW612" s="1"/>
  <c r="AK612"/>
  <c r="AJ612"/>
  <c r="AH612"/>
  <c r="AE612"/>
  <c r="AD612"/>
  <c r="AC612"/>
  <c r="AB612"/>
  <c r="Z612"/>
  <c r="I612"/>
  <c r="AL612" s="1"/>
  <c r="BJ611"/>
  <c r="BF611"/>
  <c r="BD611"/>
  <c r="AP611"/>
  <c r="AX611" s="1"/>
  <c r="AO611"/>
  <c r="AW611" s="1"/>
  <c r="AK611"/>
  <c r="AJ611"/>
  <c r="AH611"/>
  <c r="AE611"/>
  <c r="AD611"/>
  <c r="AC611"/>
  <c r="AB611"/>
  <c r="Z611"/>
  <c r="I611"/>
  <c r="AL611" s="1"/>
  <c r="BJ610"/>
  <c r="BF610"/>
  <c r="BD610"/>
  <c r="AX610"/>
  <c r="AP610"/>
  <c r="BI610" s="1"/>
  <c r="AG610" s="1"/>
  <c r="AO610"/>
  <c r="AW610" s="1"/>
  <c r="AK610"/>
  <c r="AJ610"/>
  <c r="AH610"/>
  <c r="AE610"/>
  <c r="AD610"/>
  <c r="AC610"/>
  <c r="AB610"/>
  <c r="Z610"/>
  <c r="I610"/>
  <c r="AL610" s="1"/>
  <c r="BJ609"/>
  <c r="BF609"/>
  <c r="BD609"/>
  <c r="AW609"/>
  <c r="AP609"/>
  <c r="AX609" s="1"/>
  <c r="AO609"/>
  <c r="BH609" s="1"/>
  <c r="AF609" s="1"/>
  <c r="AL609"/>
  <c r="AK609"/>
  <c r="AJ609"/>
  <c r="AH609"/>
  <c r="AE609"/>
  <c r="AD609"/>
  <c r="AC609"/>
  <c r="AB609"/>
  <c r="Z609"/>
  <c r="I609"/>
  <c r="BJ608"/>
  <c r="BF608"/>
  <c r="BD608"/>
  <c r="AW608"/>
  <c r="AP608"/>
  <c r="AX608" s="1"/>
  <c r="AO608"/>
  <c r="BH608" s="1"/>
  <c r="AF608" s="1"/>
  <c r="AK608"/>
  <c r="AT606" s="1"/>
  <c r="AJ608"/>
  <c r="AH608"/>
  <c r="AE608"/>
  <c r="AD608"/>
  <c r="AC608"/>
  <c r="AB608"/>
  <c r="Z608"/>
  <c r="I608"/>
  <c r="AL608" s="1"/>
  <c r="BJ607"/>
  <c r="BF607"/>
  <c r="BD607"/>
  <c r="AP607"/>
  <c r="AX607" s="1"/>
  <c r="AO607"/>
  <c r="AW607" s="1"/>
  <c r="AK607"/>
  <c r="AJ607"/>
  <c r="AH607"/>
  <c r="AE607"/>
  <c r="AD607"/>
  <c r="AC607"/>
  <c r="AB607"/>
  <c r="Z607"/>
  <c r="I607"/>
  <c r="AL607" s="1"/>
  <c r="AS606"/>
  <c r="I606"/>
  <c r="BJ604"/>
  <c r="BF604"/>
  <c r="BD604"/>
  <c r="AX604"/>
  <c r="AP604"/>
  <c r="BI604" s="1"/>
  <c r="AC604" s="1"/>
  <c r="AO604"/>
  <c r="AW604" s="1"/>
  <c r="AK604"/>
  <c r="AJ604"/>
  <c r="AH604"/>
  <c r="AG604"/>
  <c r="AF604"/>
  <c r="AE604"/>
  <c r="AD604"/>
  <c r="Z604"/>
  <c r="I604"/>
  <c r="AL604" s="1"/>
  <c r="BJ603"/>
  <c r="BF603"/>
  <c r="BD603"/>
  <c r="AW603"/>
  <c r="BC603" s="1"/>
  <c r="AP603"/>
  <c r="AX603" s="1"/>
  <c r="AO603"/>
  <c r="BH603" s="1"/>
  <c r="AB603" s="1"/>
  <c r="AL603"/>
  <c r="AK603"/>
  <c r="AJ603"/>
  <c r="AH603"/>
  <c r="AG603"/>
  <c r="AF603"/>
  <c r="AE603"/>
  <c r="AD603"/>
  <c r="Z603"/>
  <c r="I603"/>
  <c r="BJ602"/>
  <c r="BF602"/>
  <c r="BD602"/>
  <c r="AP602"/>
  <c r="AX602" s="1"/>
  <c r="AO602"/>
  <c r="AW602" s="1"/>
  <c r="AK602"/>
  <c r="AJ602"/>
  <c r="AH602"/>
  <c r="AG602"/>
  <c r="AF602"/>
  <c r="AE602"/>
  <c r="AD602"/>
  <c r="Z602"/>
  <c r="I602"/>
  <c r="AL602" s="1"/>
  <c r="BJ601"/>
  <c r="BF601"/>
  <c r="BD601"/>
  <c r="AP601"/>
  <c r="AX601" s="1"/>
  <c r="AO601"/>
  <c r="AW601" s="1"/>
  <c r="AK601"/>
  <c r="AJ601"/>
  <c r="AH601"/>
  <c r="AG601"/>
  <c r="AF601"/>
  <c r="AE601"/>
  <c r="AD601"/>
  <c r="Z601"/>
  <c r="I601"/>
  <c r="AL601" s="1"/>
  <c r="BJ600"/>
  <c r="BF600"/>
  <c r="BD600"/>
  <c r="AX600"/>
  <c r="AP600"/>
  <c r="BI600" s="1"/>
  <c r="AC600" s="1"/>
  <c r="AO600"/>
  <c r="AW600" s="1"/>
  <c r="AK600"/>
  <c r="AJ600"/>
  <c r="AH600"/>
  <c r="AG600"/>
  <c r="AF600"/>
  <c r="AE600"/>
  <c r="AD600"/>
  <c r="Z600"/>
  <c r="I600"/>
  <c r="AL600" s="1"/>
  <c r="BJ599"/>
  <c r="BF599"/>
  <c r="BD599"/>
  <c r="AW599"/>
  <c r="AP599"/>
  <c r="AX599" s="1"/>
  <c r="AO599"/>
  <c r="BH599" s="1"/>
  <c r="AF599" s="1"/>
  <c r="AL599"/>
  <c r="AK599"/>
  <c r="AJ599"/>
  <c r="AH599"/>
  <c r="AE599"/>
  <c r="AD599"/>
  <c r="AC599"/>
  <c r="AB599"/>
  <c r="Z599"/>
  <c r="I599"/>
  <c r="BJ598"/>
  <c r="BF598"/>
  <c r="BD598"/>
  <c r="AP598"/>
  <c r="AX598" s="1"/>
  <c r="AO598"/>
  <c r="AW598" s="1"/>
  <c r="AK598"/>
  <c r="AJ598"/>
  <c r="AH598"/>
  <c r="AE598"/>
  <c r="AD598"/>
  <c r="AC598"/>
  <c r="AB598"/>
  <c r="Z598"/>
  <c r="I598"/>
  <c r="AL598" s="1"/>
  <c r="BJ597"/>
  <c r="BF597"/>
  <c r="BD597"/>
  <c r="AP597"/>
  <c r="AX597" s="1"/>
  <c r="AO597"/>
  <c r="AW597" s="1"/>
  <c r="AK597"/>
  <c r="AJ597"/>
  <c r="AH597"/>
  <c r="AE597"/>
  <c r="AD597"/>
  <c r="AC597"/>
  <c r="AB597"/>
  <c r="Z597"/>
  <c r="I597"/>
  <c r="AL597" s="1"/>
  <c r="BJ596"/>
  <c r="BF596"/>
  <c r="BD596"/>
  <c r="AX596"/>
  <c r="AP596"/>
  <c r="BI596" s="1"/>
  <c r="AG596" s="1"/>
  <c r="AO596"/>
  <c r="AW596" s="1"/>
  <c r="AK596"/>
  <c r="AJ596"/>
  <c r="AH596"/>
  <c r="AE596"/>
  <c r="AD596"/>
  <c r="AC596"/>
  <c r="AB596"/>
  <c r="Z596"/>
  <c r="I596"/>
  <c r="AL596" s="1"/>
  <c r="BJ595"/>
  <c r="BF595"/>
  <c r="BD595"/>
  <c r="AW595"/>
  <c r="AP595"/>
  <c r="AX595" s="1"/>
  <c r="AO595"/>
  <c r="BH595" s="1"/>
  <c r="AF595" s="1"/>
  <c r="AL595"/>
  <c r="AK595"/>
  <c r="AJ595"/>
  <c r="AH595"/>
  <c r="AE595"/>
  <c r="AD595"/>
  <c r="AC595"/>
  <c r="AB595"/>
  <c r="Z595"/>
  <c r="I595"/>
  <c r="BJ594"/>
  <c r="BF594"/>
  <c r="BD594"/>
  <c r="AP594"/>
  <c r="AX594" s="1"/>
  <c r="AO594"/>
  <c r="AW594" s="1"/>
  <c r="AK594"/>
  <c r="AJ594"/>
  <c r="AH594"/>
  <c r="AE594"/>
  <c r="AD594"/>
  <c r="AC594"/>
  <c r="AB594"/>
  <c r="Z594"/>
  <c r="I594"/>
  <c r="AL594" s="1"/>
  <c r="BJ593"/>
  <c r="BF593"/>
  <c r="BD593"/>
  <c r="AP593"/>
  <c r="AX593" s="1"/>
  <c r="AO593"/>
  <c r="AW593" s="1"/>
  <c r="AK593"/>
  <c r="AJ593"/>
  <c r="AH593"/>
  <c r="AE593"/>
  <c r="AD593"/>
  <c r="AC593"/>
  <c r="AB593"/>
  <c r="Z593"/>
  <c r="I593"/>
  <c r="AL593" s="1"/>
  <c r="BJ592"/>
  <c r="BF592"/>
  <c r="BD592"/>
  <c r="AX592"/>
  <c r="AP592"/>
  <c r="BI592" s="1"/>
  <c r="AG592" s="1"/>
  <c r="AO592"/>
  <c r="AW592" s="1"/>
  <c r="AK592"/>
  <c r="AJ592"/>
  <c r="AH592"/>
  <c r="AE592"/>
  <c r="AD592"/>
  <c r="AC592"/>
  <c r="AB592"/>
  <c r="Z592"/>
  <c r="I592"/>
  <c r="AL592" s="1"/>
  <c r="BJ591"/>
  <c r="BF591"/>
  <c r="BD591"/>
  <c r="AX591"/>
  <c r="AW591"/>
  <c r="BC591" s="1"/>
  <c r="AP591"/>
  <c r="BI591" s="1"/>
  <c r="AG591" s="1"/>
  <c r="AO591"/>
  <c r="BH591" s="1"/>
  <c r="AF591" s="1"/>
  <c r="AL591"/>
  <c r="AK591"/>
  <c r="AJ591"/>
  <c r="AH591"/>
  <c r="AE591"/>
  <c r="AD591"/>
  <c r="AC591"/>
  <c r="AB591"/>
  <c r="Z591"/>
  <c r="I591"/>
  <c r="BJ590"/>
  <c r="BF590"/>
  <c r="BD590"/>
  <c r="AW590"/>
  <c r="AP590"/>
  <c r="AX590" s="1"/>
  <c r="AO590"/>
  <c r="BH590" s="1"/>
  <c r="AF590" s="1"/>
  <c r="AK590"/>
  <c r="AJ590"/>
  <c r="AH590"/>
  <c r="AE590"/>
  <c r="AD590"/>
  <c r="AC590"/>
  <c r="AB590"/>
  <c r="Z590"/>
  <c r="I590"/>
  <c r="AL590" s="1"/>
  <c r="BJ589"/>
  <c r="BF589"/>
  <c r="BD589"/>
  <c r="AP589"/>
  <c r="AX589" s="1"/>
  <c r="AO589"/>
  <c r="AW589" s="1"/>
  <c r="AK589"/>
  <c r="AJ589"/>
  <c r="AH589"/>
  <c r="AE589"/>
  <c r="AD589"/>
  <c r="AC589"/>
  <c r="AB589"/>
  <c r="Z589"/>
  <c r="I589"/>
  <c r="AL589" s="1"/>
  <c r="BJ588"/>
  <c r="BF588"/>
  <c r="BD588"/>
  <c r="AX588"/>
  <c r="AP588"/>
  <c r="BI588" s="1"/>
  <c r="AG588" s="1"/>
  <c r="AO588"/>
  <c r="AW588" s="1"/>
  <c r="AK588"/>
  <c r="AJ588"/>
  <c r="AH588"/>
  <c r="AE588"/>
  <c r="AD588"/>
  <c r="AC588"/>
  <c r="AB588"/>
  <c r="Z588"/>
  <c r="I588"/>
  <c r="AL588" s="1"/>
  <c r="BJ587"/>
  <c r="BF587"/>
  <c r="BD587"/>
  <c r="AW587"/>
  <c r="AP587"/>
  <c r="AX587" s="1"/>
  <c r="AO587"/>
  <c r="BH587" s="1"/>
  <c r="AF587" s="1"/>
  <c r="AL587"/>
  <c r="AK587"/>
  <c r="AJ587"/>
  <c r="AH587"/>
  <c r="AE587"/>
  <c r="AD587"/>
  <c r="AC587"/>
  <c r="AB587"/>
  <c r="Z587"/>
  <c r="I587"/>
  <c r="BJ586"/>
  <c r="BF586"/>
  <c r="BD586"/>
  <c r="AP586"/>
  <c r="AX586" s="1"/>
  <c r="AO586"/>
  <c r="AW586" s="1"/>
  <c r="AK586"/>
  <c r="AJ586"/>
  <c r="AH586"/>
  <c r="AE586"/>
  <c r="AD586"/>
  <c r="AC586"/>
  <c r="AB586"/>
  <c r="Z586"/>
  <c r="I586"/>
  <c r="AL586" s="1"/>
  <c r="BJ585"/>
  <c r="BF585"/>
  <c r="BD585"/>
  <c r="AP585"/>
  <c r="AX585" s="1"/>
  <c r="AO585"/>
  <c r="AW585" s="1"/>
  <c r="AK585"/>
  <c r="AJ585"/>
  <c r="AH585"/>
  <c r="AE585"/>
  <c r="AD585"/>
  <c r="AC585"/>
  <c r="AB585"/>
  <c r="Z585"/>
  <c r="I585"/>
  <c r="AL585" s="1"/>
  <c r="BJ584"/>
  <c r="BF584"/>
  <c r="BD584"/>
  <c r="AX584"/>
  <c r="AP584"/>
  <c r="BI584" s="1"/>
  <c r="AG584" s="1"/>
  <c r="AO584"/>
  <c r="AW584" s="1"/>
  <c r="AK584"/>
  <c r="AJ584"/>
  <c r="AH584"/>
  <c r="AE584"/>
  <c r="AD584"/>
  <c r="AC584"/>
  <c r="AB584"/>
  <c r="Z584"/>
  <c r="I584"/>
  <c r="AL584" s="1"/>
  <c r="BJ583"/>
  <c r="BF583"/>
  <c r="BD583"/>
  <c r="AW583"/>
  <c r="BC583" s="1"/>
  <c r="AP583"/>
  <c r="AX583" s="1"/>
  <c r="AO583"/>
  <c r="BH583" s="1"/>
  <c r="AF583" s="1"/>
  <c r="AL583"/>
  <c r="AK583"/>
  <c r="AJ583"/>
  <c r="AH583"/>
  <c r="AE583"/>
  <c r="AD583"/>
  <c r="AC583"/>
  <c r="AB583"/>
  <c r="Z583"/>
  <c r="I583"/>
  <c r="BJ582"/>
  <c r="BF582"/>
  <c r="BD582"/>
  <c r="AP582"/>
  <c r="AX582" s="1"/>
  <c r="AO582"/>
  <c r="AW582" s="1"/>
  <c r="AK582"/>
  <c r="AJ582"/>
  <c r="AH582"/>
  <c r="AE582"/>
  <c r="AD582"/>
  <c r="AC582"/>
  <c r="AB582"/>
  <c r="Z582"/>
  <c r="I582"/>
  <c r="AL582" s="1"/>
  <c r="BJ581"/>
  <c r="BF581"/>
  <c r="BD581"/>
  <c r="AP581"/>
  <c r="AX581" s="1"/>
  <c r="AO581"/>
  <c r="AW581" s="1"/>
  <c r="AK581"/>
  <c r="AJ581"/>
  <c r="AH581"/>
  <c r="AE581"/>
  <c r="AD581"/>
  <c r="AC581"/>
  <c r="AB581"/>
  <c r="Z581"/>
  <c r="I581"/>
  <c r="AL581" s="1"/>
  <c r="BJ580"/>
  <c r="BF580"/>
  <c r="BD580"/>
  <c r="AX580"/>
  <c r="AP580"/>
  <c r="BI580" s="1"/>
  <c r="AG580" s="1"/>
  <c r="AO580"/>
  <c r="AW580" s="1"/>
  <c r="AK580"/>
  <c r="AJ580"/>
  <c r="AH580"/>
  <c r="AE580"/>
  <c r="AD580"/>
  <c r="AC580"/>
  <c r="AB580"/>
  <c r="Z580"/>
  <c r="I580"/>
  <c r="I578" s="1"/>
  <c r="BJ579"/>
  <c r="BF579"/>
  <c r="BD579"/>
  <c r="AW579"/>
  <c r="BC579" s="1"/>
  <c r="AP579"/>
  <c r="AX579" s="1"/>
  <c r="AO579"/>
  <c r="BH579" s="1"/>
  <c r="AF579" s="1"/>
  <c r="AL579"/>
  <c r="AK579"/>
  <c r="AJ579"/>
  <c r="AH579"/>
  <c r="AE579"/>
  <c r="AD579"/>
  <c r="AC579"/>
  <c r="AB579"/>
  <c r="Z579"/>
  <c r="I579"/>
  <c r="AT578"/>
  <c r="AS578"/>
  <c r="BJ577"/>
  <c r="BF577"/>
  <c r="BD577"/>
  <c r="AP577"/>
  <c r="AX577" s="1"/>
  <c r="AO577"/>
  <c r="AW577" s="1"/>
  <c r="AK577"/>
  <c r="AJ577"/>
  <c r="AH577"/>
  <c r="AG577"/>
  <c r="AF577"/>
  <c r="AE577"/>
  <c r="AD577"/>
  <c r="Z577"/>
  <c r="I577"/>
  <c r="AL577" s="1"/>
  <c r="AU576" s="1"/>
  <c r="AT576"/>
  <c r="AS576"/>
  <c r="I576"/>
  <c r="BJ575"/>
  <c r="BF575"/>
  <c r="BD575"/>
  <c r="AP575"/>
  <c r="AX575" s="1"/>
  <c r="AO575"/>
  <c r="AW575" s="1"/>
  <c r="AK575"/>
  <c r="AJ575"/>
  <c r="AH575"/>
  <c r="AG575"/>
  <c r="AF575"/>
  <c r="AE575"/>
  <c r="AD575"/>
  <c r="Z575"/>
  <c r="I575"/>
  <c r="AL575" s="1"/>
  <c r="BJ574"/>
  <c r="BF574"/>
  <c r="BD574"/>
  <c r="AX574"/>
  <c r="AP574"/>
  <c r="BI574" s="1"/>
  <c r="AC574" s="1"/>
  <c r="AO574"/>
  <c r="AW574" s="1"/>
  <c r="AK574"/>
  <c r="AJ574"/>
  <c r="AH574"/>
  <c r="AG574"/>
  <c r="AF574"/>
  <c r="AE574"/>
  <c r="AD574"/>
  <c r="Z574"/>
  <c r="I574"/>
  <c r="I572" s="1"/>
  <c r="BJ573"/>
  <c r="BF573"/>
  <c r="BD573"/>
  <c r="AW573"/>
  <c r="BC573" s="1"/>
  <c r="AP573"/>
  <c r="AX573" s="1"/>
  <c r="AO573"/>
  <c r="BH573" s="1"/>
  <c r="AB573" s="1"/>
  <c r="AL573"/>
  <c r="AK573"/>
  <c r="AJ573"/>
  <c r="AH573"/>
  <c r="AG573"/>
  <c r="AF573"/>
  <c r="AE573"/>
  <c r="AD573"/>
  <c r="Z573"/>
  <c r="I573"/>
  <c r="AT572"/>
  <c r="AS572"/>
  <c r="BJ571"/>
  <c r="BF571"/>
  <c r="BD571"/>
  <c r="AP571"/>
  <c r="AX571" s="1"/>
  <c r="AO571"/>
  <c r="AW571" s="1"/>
  <c r="AK571"/>
  <c r="AJ571"/>
  <c r="AH571"/>
  <c r="AE571"/>
  <c r="AD571"/>
  <c r="AC571"/>
  <c r="AB571"/>
  <c r="Z571"/>
  <c r="I571"/>
  <c r="AL571" s="1"/>
  <c r="BJ570"/>
  <c r="BF570"/>
  <c r="BD570"/>
  <c r="AP570"/>
  <c r="AX570" s="1"/>
  <c r="AO570"/>
  <c r="AW570" s="1"/>
  <c r="AK570"/>
  <c r="AJ570"/>
  <c r="AH570"/>
  <c r="AG570"/>
  <c r="AF570"/>
  <c r="AE570"/>
  <c r="AD570"/>
  <c r="Z570"/>
  <c r="I570"/>
  <c r="AL570" s="1"/>
  <c r="BJ569"/>
  <c r="BF569"/>
  <c r="BD569"/>
  <c r="AX569"/>
  <c r="AP569"/>
  <c r="BI569" s="1"/>
  <c r="AC569" s="1"/>
  <c r="AO569"/>
  <c r="AW569" s="1"/>
  <c r="AK569"/>
  <c r="AJ569"/>
  <c r="AH569"/>
  <c r="AG569"/>
  <c r="AF569"/>
  <c r="AE569"/>
  <c r="AD569"/>
  <c r="Z569"/>
  <c r="I569"/>
  <c r="AL569" s="1"/>
  <c r="BJ568"/>
  <c r="BF568"/>
  <c r="BD568"/>
  <c r="AX568"/>
  <c r="AW568"/>
  <c r="BC568" s="1"/>
  <c r="AP568"/>
  <c r="BI568" s="1"/>
  <c r="AC568" s="1"/>
  <c r="AO568"/>
  <c r="BH568" s="1"/>
  <c r="AB568" s="1"/>
  <c r="AL568"/>
  <c r="AK568"/>
  <c r="AJ568"/>
  <c r="AH568"/>
  <c r="AG568"/>
  <c r="AF568"/>
  <c r="AE568"/>
  <c r="AD568"/>
  <c r="Z568"/>
  <c r="I568"/>
  <c r="BJ567"/>
  <c r="BF567"/>
  <c r="BD567"/>
  <c r="AW567"/>
  <c r="AP567"/>
  <c r="AX567" s="1"/>
  <c r="AO567"/>
  <c r="BH567" s="1"/>
  <c r="AB567" s="1"/>
  <c r="AK567"/>
  <c r="AJ567"/>
  <c r="AH567"/>
  <c r="AG567"/>
  <c r="AF567"/>
  <c r="AE567"/>
  <c r="AD567"/>
  <c r="Z567"/>
  <c r="I567"/>
  <c r="AL567" s="1"/>
  <c r="BJ566"/>
  <c r="BF566"/>
  <c r="BD566"/>
  <c r="AP566"/>
  <c r="AX566" s="1"/>
  <c r="AO566"/>
  <c r="AW566" s="1"/>
  <c r="AK566"/>
  <c r="AJ566"/>
  <c r="AH566"/>
  <c r="AG566"/>
  <c r="AF566"/>
  <c r="AE566"/>
  <c r="AD566"/>
  <c r="Z566"/>
  <c r="I566"/>
  <c r="AL566" s="1"/>
  <c r="BJ565"/>
  <c r="BF565"/>
  <c r="BD565"/>
  <c r="AX565"/>
  <c r="AP565"/>
  <c r="BI565" s="1"/>
  <c r="AC565" s="1"/>
  <c r="AO565"/>
  <c r="AW565" s="1"/>
  <c r="AK565"/>
  <c r="AJ565"/>
  <c r="AH565"/>
  <c r="AG565"/>
  <c r="AF565"/>
  <c r="AE565"/>
  <c r="AD565"/>
  <c r="Z565"/>
  <c r="I565"/>
  <c r="AL565" s="1"/>
  <c r="BJ564"/>
  <c r="BF564"/>
  <c r="BD564"/>
  <c r="AW564"/>
  <c r="AP564"/>
  <c r="AX564" s="1"/>
  <c r="AO564"/>
  <c r="BH564" s="1"/>
  <c r="AB564" s="1"/>
  <c r="AL564"/>
  <c r="AK564"/>
  <c r="AJ564"/>
  <c r="AH564"/>
  <c r="AG564"/>
  <c r="AF564"/>
  <c r="AE564"/>
  <c r="AD564"/>
  <c r="Z564"/>
  <c r="I564"/>
  <c r="BJ563"/>
  <c r="BF563"/>
  <c r="BD563"/>
  <c r="AP563"/>
  <c r="AX563" s="1"/>
  <c r="AO563"/>
  <c r="AW563" s="1"/>
  <c r="AK563"/>
  <c r="AJ563"/>
  <c r="AH563"/>
  <c r="AG563"/>
  <c r="AF563"/>
  <c r="AE563"/>
  <c r="AD563"/>
  <c r="Z563"/>
  <c r="I563"/>
  <c r="AL563" s="1"/>
  <c r="BJ562"/>
  <c r="BF562"/>
  <c r="BD562"/>
  <c r="AP562"/>
  <c r="AX562" s="1"/>
  <c r="AO562"/>
  <c r="AW562" s="1"/>
  <c r="AK562"/>
  <c r="AJ562"/>
  <c r="AH562"/>
  <c r="AG562"/>
  <c r="AF562"/>
  <c r="AE562"/>
  <c r="AD562"/>
  <c r="Z562"/>
  <c r="I562"/>
  <c r="AL562" s="1"/>
  <c r="BJ561"/>
  <c r="BF561"/>
  <c r="BD561"/>
  <c r="AX561"/>
  <c r="AP561"/>
  <c r="BI561" s="1"/>
  <c r="AC561" s="1"/>
  <c r="AO561"/>
  <c r="AW561" s="1"/>
  <c r="AK561"/>
  <c r="AJ561"/>
  <c r="AH561"/>
  <c r="AG561"/>
  <c r="AF561"/>
  <c r="AE561"/>
  <c r="AD561"/>
  <c r="Z561"/>
  <c r="I561"/>
  <c r="AL561" s="1"/>
  <c r="BJ560"/>
  <c r="BF560"/>
  <c r="BD560"/>
  <c r="AW560"/>
  <c r="BC560" s="1"/>
  <c r="AP560"/>
  <c r="AX560" s="1"/>
  <c r="AO560"/>
  <c r="BH560" s="1"/>
  <c r="AB560" s="1"/>
  <c r="AL560"/>
  <c r="AK560"/>
  <c r="AJ560"/>
  <c r="AH560"/>
  <c r="AG560"/>
  <c r="AF560"/>
  <c r="AE560"/>
  <c r="AD560"/>
  <c r="Z560"/>
  <c r="I560"/>
  <c r="BJ559"/>
  <c r="BF559"/>
  <c r="BD559"/>
  <c r="AP559"/>
  <c r="AX559" s="1"/>
  <c r="AO559"/>
  <c r="AW559" s="1"/>
  <c r="AK559"/>
  <c r="AJ559"/>
  <c r="AH559"/>
  <c r="AG559"/>
  <c r="AF559"/>
  <c r="AE559"/>
  <c r="AD559"/>
  <c r="Z559"/>
  <c r="I559"/>
  <c r="AL559" s="1"/>
  <c r="BJ558"/>
  <c r="BF558"/>
  <c r="BD558"/>
  <c r="AP558"/>
  <c r="AX558" s="1"/>
  <c r="AO558"/>
  <c r="AW558" s="1"/>
  <c r="AK558"/>
  <c r="AJ558"/>
  <c r="AH558"/>
  <c r="AG558"/>
  <c r="AF558"/>
  <c r="AE558"/>
  <c r="AD558"/>
  <c r="Z558"/>
  <c r="I558"/>
  <c r="AL558" s="1"/>
  <c r="BJ557"/>
  <c r="BF557"/>
  <c r="BD557"/>
  <c r="AX557"/>
  <c r="AP557"/>
  <c r="BI557" s="1"/>
  <c r="AC557" s="1"/>
  <c r="AO557"/>
  <c r="AW557" s="1"/>
  <c r="AK557"/>
  <c r="AJ557"/>
  <c r="AH557"/>
  <c r="AG557"/>
  <c r="AF557"/>
  <c r="AE557"/>
  <c r="AD557"/>
  <c r="Z557"/>
  <c r="I557"/>
  <c r="I555" s="1"/>
  <c r="I554" s="1"/>
  <c r="L18" i="3" s="1"/>
  <c r="P18" s="1"/>
  <c r="BJ556" i="4"/>
  <c r="BF556"/>
  <c r="BD556"/>
  <c r="AW556"/>
  <c r="BC556" s="1"/>
  <c r="AP556"/>
  <c r="AX556" s="1"/>
  <c r="AO556"/>
  <c r="BH556" s="1"/>
  <c r="AB556" s="1"/>
  <c r="AL556"/>
  <c r="AK556"/>
  <c r="AJ556"/>
  <c r="AH556"/>
  <c r="AG556"/>
  <c r="AF556"/>
  <c r="AE556"/>
  <c r="AD556"/>
  <c r="Z556"/>
  <c r="I556"/>
  <c r="AT555"/>
  <c r="AS555"/>
  <c r="BJ553"/>
  <c r="Z553" s="1"/>
  <c r="BF553"/>
  <c r="BD553"/>
  <c r="AW553"/>
  <c r="AP553"/>
  <c r="AX553" s="1"/>
  <c r="AO553"/>
  <c r="BH553" s="1"/>
  <c r="AL553"/>
  <c r="AK553"/>
  <c r="AJ553"/>
  <c r="AH553"/>
  <c r="AG553"/>
  <c r="AF553"/>
  <c r="AE553"/>
  <c r="AD553"/>
  <c r="AC553"/>
  <c r="AB553"/>
  <c r="I553"/>
  <c r="BJ551"/>
  <c r="BF551"/>
  <c r="BD551"/>
  <c r="AP551"/>
  <c r="AX551" s="1"/>
  <c r="AO551"/>
  <c r="AW551" s="1"/>
  <c r="AK551"/>
  <c r="AT548" s="1"/>
  <c r="AJ551"/>
  <c r="AH551"/>
  <c r="AG551"/>
  <c r="AF551"/>
  <c r="AC551"/>
  <c r="AB551"/>
  <c r="Z551"/>
  <c r="I551"/>
  <c r="AL551" s="1"/>
  <c r="BJ549"/>
  <c r="BF549"/>
  <c r="BD549"/>
  <c r="AP549"/>
  <c r="AX549" s="1"/>
  <c r="AO549"/>
  <c r="AW549" s="1"/>
  <c r="AK549"/>
  <c r="AJ549"/>
  <c r="AH549"/>
  <c r="AG549"/>
  <c r="AF549"/>
  <c r="AC549"/>
  <c r="AB549"/>
  <c r="Z549"/>
  <c r="I549"/>
  <c r="AL549" s="1"/>
  <c r="AU548" s="1"/>
  <c r="AS548"/>
  <c r="I548"/>
  <c r="BJ547"/>
  <c r="BF547"/>
  <c r="BD547"/>
  <c r="AX547"/>
  <c r="AP547"/>
  <c r="BI547" s="1"/>
  <c r="AO547"/>
  <c r="AW547" s="1"/>
  <c r="AK547"/>
  <c r="AJ547"/>
  <c r="AH547"/>
  <c r="AG547"/>
  <c r="AF547"/>
  <c r="AE547"/>
  <c r="AD547"/>
  <c r="AC547"/>
  <c r="AB547"/>
  <c r="Z547"/>
  <c r="I547"/>
  <c r="AL547" s="1"/>
  <c r="BJ546"/>
  <c r="BF546"/>
  <c r="BD546"/>
  <c r="AW546"/>
  <c r="AP546"/>
  <c r="AX546" s="1"/>
  <c r="AO546"/>
  <c r="BH546" s="1"/>
  <c r="AK546"/>
  <c r="AJ546"/>
  <c r="AH546"/>
  <c r="AG546"/>
  <c r="AF546"/>
  <c r="AE546"/>
  <c r="AD546"/>
  <c r="AC546"/>
  <c r="AB546"/>
  <c r="Z546"/>
  <c r="I546"/>
  <c r="AL546" s="1"/>
  <c r="BJ545"/>
  <c r="BF545"/>
  <c r="BD545"/>
  <c r="AW545"/>
  <c r="AP545"/>
  <c r="AX545" s="1"/>
  <c r="AO545"/>
  <c r="BH545" s="1"/>
  <c r="AL545"/>
  <c r="AK545"/>
  <c r="AJ545"/>
  <c r="AH545"/>
  <c r="AG545"/>
  <c r="AF545"/>
  <c r="AE545"/>
  <c r="AD545"/>
  <c r="AC545"/>
  <c r="AB545"/>
  <c r="Z545"/>
  <c r="I545"/>
  <c r="BJ544"/>
  <c r="Z544" s="1"/>
  <c r="BF544"/>
  <c r="BD544"/>
  <c r="AP544"/>
  <c r="AX544" s="1"/>
  <c r="AO544"/>
  <c r="AW544" s="1"/>
  <c r="AK544"/>
  <c r="AT540" s="1"/>
  <c r="AJ544"/>
  <c r="AH544"/>
  <c r="AG544"/>
  <c r="AF544"/>
  <c r="AE544"/>
  <c r="AD544"/>
  <c r="AC544"/>
  <c r="AB544"/>
  <c r="I544"/>
  <c r="AL544" s="1"/>
  <c r="BJ542"/>
  <c r="BF542"/>
  <c r="BD542"/>
  <c r="AP542"/>
  <c r="BI542" s="1"/>
  <c r="AO542"/>
  <c r="AW542" s="1"/>
  <c r="AK542"/>
  <c r="AJ542"/>
  <c r="AH542"/>
  <c r="AG542"/>
  <c r="AF542"/>
  <c r="AE542"/>
  <c r="AD542"/>
  <c r="AC542"/>
  <c r="AB542"/>
  <c r="Z542"/>
  <c r="I542"/>
  <c r="AL542" s="1"/>
  <c r="BJ541"/>
  <c r="BF541"/>
  <c r="BD541"/>
  <c r="AP541"/>
  <c r="AX541" s="1"/>
  <c r="AO541"/>
  <c r="BH541" s="1"/>
  <c r="AK541"/>
  <c r="AJ541"/>
  <c r="AH541"/>
  <c r="AG541"/>
  <c r="AF541"/>
  <c r="AE541"/>
  <c r="AD541"/>
  <c r="AC541"/>
  <c r="AB541"/>
  <c r="Z541"/>
  <c r="I541"/>
  <c r="AL541" s="1"/>
  <c r="AU540" s="1"/>
  <c r="AS540"/>
  <c r="I540"/>
  <c r="BJ538"/>
  <c r="BF538"/>
  <c r="BD538"/>
  <c r="AX538"/>
  <c r="AP538"/>
  <c r="BI538" s="1"/>
  <c r="AO538"/>
  <c r="AW538" s="1"/>
  <c r="AK538"/>
  <c r="AJ538"/>
  <c r="AH538"/>
  <c r="AG538"/>
  <c r="AF538"/>
  <c r="AE538"/>
  <c r="AD538"/>
  <c r="AC538"/>
  <c r="AB538"/>
  <c r="Z538"/>
  <c r="I538"/>
  <c r="AL538" s="1"/>
  <c r="AU537" s="1"/>
  <c r="AT537"/>
  <c r="AS537"/>
  <c r="I537"/>
  <c r="BJ535"/>
  <c r="BF535"/>
  <c r="BD535"/>
  <c r="AW535"/>
  <c r="AP535"/>
  <c r="AX535" s="1"/>
  <c r="AO535"/>
  <c r="BH535" s="1"/>
  <c r="AB535" s="1"/>
  <c r="AL535"/>
  <c r="AK535"/>
  <c r="AJ535"/>
  <c r="AH535"/>
  <c r="AG535"/>
  <c r="AF535"/>
  <c r="AE535"/>
  <c r="AD535"/>
  <c r="Z535"/>
  <c r="I535"/>
  <c r="BJ533"/>
  <c r="BF533"/>
  <c r="BD533"/>
  <c r="AP533"/>
  <c r="BI533" s="1"/>
  <c r="AC533" s="1"/>
  <c r="AO533"/>
  <c r="AW533" s="1"/>
  <c r="AK533"/>
  <c r="AT529" s="1"/>
  <c r="AJ533"/>
  <c r="AH533"/>
  <c r="AG533"/>
  <c r="AF533"/>
  <c r="AE533"/>
  <c r="AD533"/>
  <c r="Z533"/>
  <c r="I533"/>
  <c r="AL533" s="1"/>
  <c r="BJ531"/>
  <c r="BF531"/>
  <c r="BD531"/>
  <c r="AP531"/>
  <c r="AX531" s="1"/>
  <c r="AO531"/>
  <c r="BH531" s="1"/>
  <c r="AB531" s="1"/>
  <c r="AK531"/>
  <c r="AJ531"/>
  <c r="AS529" s="1"/>
  <c r="AH531"/>
  <c r="AG531"/>
  <c r="AF531"/>
  <c r="AE531"/>
  <c r="AD531"/>
  <c r="Z531"/>
  <c r="I531"/>
  <c r="AL531" s="1"/>
  <c r="BJ530"/>
  <c r="BF530"/>
  <c r="BD530"/>
  <c r="AX530"/>
  <c r="AP530"/>
  <c r="BI530" s="1"/>
  <c r="AC530" s="1"/>
  <c r="AO530"/>
  <c r="AW530" s="1"/>
  <c r="AK530"/>
  <c r="AJ530"/>
  <c r="AH530"/>
  <c r="AG530"/>
  <c r="AF530"/>
  <c r="AE530"/>
  <c r="AD530"/>
  <c r="Z530"/>
  <c r="I530"/>
  <c r="AL530" s="1"/>
  <c r="I529"/>
  <c r="BJ525"/>
  <c r="BF525"/>
  <c r="BD525"/>
  <c r="AW525"/>
  <c r="AP525"/>
  <c r="AX525" s="1"/>
  <c r="AO525"/>
  <c r="BH525" s="1"/>
  <c r="AB525" s="1"/>
  <c r="AL525"/>
  <c r="AK525"/>
  <c r="AJ525"/>
  <c r="AH525"/>
  <c r="AG525"/>
  <c r="AF525"/>
  <c r="AE525"/>
  <c r="AD525"/>
  <c r="Z525"/>
  <c r="I525"/>
  <c r="AU524"/>
  <c r="AT524"/>
  <c r="AS524"/>
  <c r="I524"/>
  <c r="BJ522"/>
  <c r="BF522"/>
  <c r="BD522"/>
  <c r="AP522"/>
  <c r="BI522" s="1"/>
  <c r="AC522" s="1"/>
  <c r="AO522"/>
  <c r="AW522" s="1"/>
  <c r="AK522"/>
  <c r="AT519" s="1"/>
  <c r="AJ522"/>
  <c r="AH522"/>
  <c r="AG522"/>
  <c r="AF522"/>
  <c r="AE522"/>
  <c r="AD522"/>
  <c r="Z522"/>
  <c r="I522"/>
  <c r="AL522" s="1"/>
  <c r="BJ520"/>
  <c r="BF520"/>
  <c r="BD520"/>
  <c r="AP520"/>
  <c r="AX520" s="1"/>
  <c r="AO520"/>
  <c r="BH520" s="1"/>
  <c r="AB520" s="1"/>
  <c r="AK520"/>
  <c r="AJ520"/>
  <c r="AH520"/>
  <c r="AG520"/>
  <c r="AF520"/>
  <c r="AE520"/>
  <c r="AD520"/>
  <c r="Z520"/>
  <c r="I520"/>
  <c r="AL520" s="1"/>
  <c r="AS519"/>
  <c r="I519"/>
  <c r="BJ517"/>
  <c r="BF517"/>
  <c r="BD517"/>
  <c r="AX517"/>
  <c r="AP517"/>
  <c r="BI517" s="1"/>
  <c r="AC517" s="1"/>
  <c r="AO517"/>
  <c r="AW517" s="1"/>
  <c r="AK517"/>
  <c r="AJ517"/>
  <c r="AH517"/>
  <c r="AG517"/>
  <c r="AF517"/>
  <c r="AE517"/>
  <c r="AD517"/>
  <c r="Z517"/>
  <c r="I517"/>
  <c r="AL517" s="1"/>
  <c r="BJ515"/>
  <c r="BF515"/>
  <c r="BD515"/>
  <c r="AW515"/>
  <c r="AP515"/>
  <c r="AX515" s="1"/>
  <c r="AO515"/>
  <c r="BH515" s="1"/>
  <c r="AB515" s="1"/>
  <c r="AL515"/>
  <c r="AK515"/>
  <c r="AJ515"/>
  <c r="AH515"/>
  <c r="AG515"/>
  <c r="AF515"/>
  <c r="AE515"/>
  <c r="AD515"/>
  <c r="Z515"/>
  <c r="I515"/>
  <c r="BJ513"/>
  <c r="BF513"/>
  <c r="BD513"/>
  <c r="AP513"/>
  <c r="BI513" s="1"/>
  <c r="AC513" s="1"/>
  <c r="AO513"/>
  <c r="AW513" s="1"/>
  <c r="AK513"/>
  <c r="AJ513"/>
  <c r="AH513"/>
  <c r="AG513"/>
  <c r="AF513"/>
  <c r="AE513"/>
  <c r="AD513"/>
  <c r="Z513"/>
  <c r="I513"/>
  <c r="AL513" s="1"/>
  <c r="BJ511"/>
  <c r="BF511"/>
  <c r="BD511"/>
  <c r="AP511"/>
  <c r="AX511" s="1"/>
  <c r="AO511"/>
  <c r="BH511" s="1"/>
  <c r="AB511" s="1"/>
  <c r="AK511"/>
  <c r="AJ511"/>
  <c r="AH511"/>
  <c r="AG511"/>
  <c r="AF511"/>
  <c r="AE511"/>
  <c r="AD511"/>
  <c r="Z511"/>
  <c r="I511"/>
  <c r="AL511" s="1"/>
  <c r="BJ509"/>
  <c r="BF509"/>
  <c r="BD509"/>
  <c r="AX509"/>
  <c r="AP509"/>
  <c r="BI509" s="1"/>
  <c r="AC509" s="1"/>
  <c r="AO509"/>
  <c r="AW509" s="1"/>
  <c r="AK509"/>
  <c r="AJ509"/>
  <c r="AH509"/>
  <c r="AG509"/>
  <c r="AF509"/>
  <c r="AE509"/>
  <c r="AD509"/>
  <c r="Z509"/>
  <c r="I509"/>
  <c r="AL509" s="1"/>
  <c r="BJ507"/>
  <c r="BF507"/>
  <c r="BD507"/>
  <c r="AW507"/>
  <c r="AP507"/>
  <c r="AX507" s="1"/>
  <c r="AO507"/>
  <c r="BH507" s="1"/>
  <c r="AB507" s="1"/>
  <c r="AL507"/>
  <c r="AK507"/>
  <c r="AJ507"/>
  <c r="AH507"/>
  <c r="AG507"/>
  <c r="AF507"/>
  <c r="AE507"/>
  <c r="AD507"/>
  <c r="Z507"/>
  <c r="I507"/>
  <c r="BJ506"/>
  <c r="BF506"/>
  <c r="BD506"/>
  <c r="AP506"/>
  <c r="BI506" s="1"/>
  <c r="AC506" s="1"/>
  <c r="AO506"/>
  <c r="AW506" s="1"/>
  <c r="AK506"/>
  <c r="AJ506"/>
  <c r="AH506"/>
  <c r="AG506"/>
  <c r="AF506"/>
  <c r="AE506"/>
  <c r="AD506"/>
  <c r="Z506"/>
  <c r="I506"/>
  <c r="AL506" s="1"/>
  <c r="BJ505"/>
  <c r="BF505"/>
  <c r="BD505"/>
  <c r="AP505"/>
  <c r="AX505" s="1"/>
  <c r="AO505"/>
  <c r="BH505" s="1"/>
  <c r="AB505" s="1"/>
  <c r="AK505"/>
  <c r="AJ505"/>
  <c r="AH505"/>
  <c r="AG505"/>
  <c r="AF505"/>
  <c r="AE505"/>
  <c r="AD505"/>
  <c r="Z505"/>
  <c r="I505"/>
  <c r="AL505" s="1"/>
  <c r="BJ504"/>
  <c r="BF504"/>
  <c r="BD504"/>
  <c r="AX504"/>
  <c r="AP504"/>
  <c r="BI504" s="1"/>
  <c r="AC504" s="1"/>
  <c r="AO504"/>
  <c r="AW504" s="1"/>
  <c r="AK504"/>
  <c r="AJ504"/>
  <c r="AH504"/>
  <c r="AG504"/>
  <c r="AF504"/>
  <c r="AE504"/>
  <c r="AD504"/>
  <c r="Z504"/>
  <c r="I504"/>
  <c r="AL504" s="1"/>
  <c r="BJ503"/>
  <c r="BF503"/>
  <c r="BD503"/>
  <c r="AX503"/>
  <c r="AW503"/>
  <c r="AV503" s="1"/>
  <c r="AP503"/>
  <c r="BI503" s="1"/>
  <c r="AC503" s="1"/>
  <c r="AO503"/>
  <c r="BH503" s="1"/>
  <c r="AB503" s="1"/>
  <c r="AL503"/>
  <c r="AK503"/>
  <c r="AJ503"/>
  <c r="AH503"/>
  <c r="AG503"/>
  <c r="AF503"/>
  <c r="AE503"/>
  <c r="AD503"/>
  <c r="Z503"/>
  <c r="I503"/>
  <c r="BJ501"/>
  <c r="BF501"/>
  <c r="BD501"/>
  <c r="AW501"/>
  <c r="AP501"/>
  <c r="BI501" s="1"/>
  <c r="AC501" s="1"/>
  <c r="AO501"/>
  <c r="BH501" s="1"/>
  <c r="AB501" s="1"/>
  <c r="AK501"/>
  <c r="AJ501"/>
  <c r="AH501"/>
  <c r="AG501"/>
  <c r="AF501"/>
  <c r="AE501"/>
  <c r="AD501"/>
  <c r="Z501"/>
  <c r="I501"/>
  <c r="AL501" s="1"/>
  <c r="BJ499"/>
  <c r="BF499"/>
  <c r="BD499"/>
  <c r="AP499"/>
  <c r="AX499" s="1"/>
  <c r="AO499"/>
  <c r="BH499" s="1"/>
  <c r="AB499" s="1"/>
  <c r="AK499"/>
  <c r="AJ499"/>
  <c r="AH499"/>
  <c r="AG499"/>
  <c r="AF499"/>
  <c r="AE499"/>
  <c r="AD499"/>
  <c r="Z499"/>
  <c r="I499"/>
  <c r="AL499" s="1"/>
  <c r="BJ497"/>
  <c r="BF497"/>
  <c r="BD497"/>
  <c r="AX497"/>
  <c r="AP497"/>
  <c r="BI497" s="1"/>
  <c r="AC497" s="1"/>
  <c r="AO497"/>
  <c r="AW497" s="1"/>
  <c r="AK497"/>
  <c r="AJ497"/>
  <c r="AH497"/>
  <c r="AG497"/>
  <c r="AF497"/>
  <c r="AE497"/>
  <c r="AD497"/>
  <c r="Z497"/>
  <c r="I497"/>
  <c r="AL497" s="1"/>
  <c r="BJ495"/>
  <c r="BF495"/>
  <c r="BD495"/>
  <c r="AX495"/>
  <c r="AW495"/>
  <c r="AV495" s="1"/>
  <c r="AP495"/>
  <c r="BI495" s="1"/>
  <c r="AC495" s="1"/>
  <c r="AO495"/>
  <c r="BH495" s="1"/>
  <c r="AB495" s="1"/>
  <c r="AL495"/>
  <c r="AK495"/>
  <c r="AJ495"/>
  <c r="AH495"/>
  <c r="AG495"/>
  <c r="AF495"/>
  <c r="AE495"/>
  <c r="AD495"/>
  <c r="Z495"/>
  <c r="I495"/>
  <c r="BJ493"/>
  <c r="BF493"/>
  <c r="BD493"/>
  <c r="AW493"/>
  <c r="AP493"/>
  <c r="BI493" s="1"/>
  <c r="AC493" s="1"/>
  <c r="AO493"/>
  <c r="BH493" s="1"/>
  <c r="AB493" s="1"/>
  <c r="AL493"/>
  <c r="AK493"/>
  <c r="AT490" s="1"/>
  <c r="AJ493"/>
  <c r="AH493"/>
  <c r="AG493"/>
  <c r="AF493"/>
  <c r="AE493"/>
  <c r="AD493"/>
  <c r="Z493"/>
  <c r="I493"/>
  <c r="BJ491"/>
  <c r="BF491"/>
  <c r="BD491"/>
  <c r="AP491"/>
  <c r="AX491" s="1"/>
  <c r="AO491"/>
  <c r="BH491" s="1"/>
  <c r="AB491" s="1"/>
  <c r="AK491"/>
  <c r="AJ491"/>
  <c r="AH491"/>
  <c r="AG491"/>
  <c r="AF491"/>
  <c r="AE491"/>
  <c r="AD491"/>
  <c r="Z491"/>
  <c r="I491"/>
  <c r="AL491" s="1"/>
  <c r="AS490"/>
  <c r="BJ489"/>
  <c r="BF489"/>
  <c r="BD489"/>
  <c r="AX489"/>
  <c r="AP489"/>
  <c r="BI489" s="1"/>
  <c r="AC489" s="1"/>
  <c r="AO489"/>
  <c r="AW489" s="1"/>
  <c r="AK489"/>
  <c r="AJ489"/>
  <c r="AH489"/>
  <c r="AG489"/>
  <c r="AF489"/>
  <c r="AE489"/>
  <c r="AD489"/>
  <c r="Z489"/>
  <c r="I489"/>
  <c r="AL489" s="1"/>
  <c r="BJ487"/>
  <c r="BF487"/>
  <c r="BD487"/>
  <c r="AX487"/>
  <c r="AW487"/>
  <c r="AV487" s="1"/>
  <c r="AP487"/>
  <c r="BI487" s="1"/>
  <c r="AC487" s="1"/>
  <c r="AO487"/>
  <c r="BH487" s="1"/>
  <c r="AB487" s="1"/>
  <c r="AL487"/>
  <c r="AK487"/>
  <c r="AJ487"/>
  <c r="AH487"/>
  <c r="AG487"/>
  <c r="AF487"/>
  <c r="AE487"/>
  <c r="AD487"/>
  <c r="Z487"/>
  <c r="I487"/>
  <c r="BJ486"/>
  <c r="BF486"/>
  <c r="BD486"/>
  <c r="AW486"/>
  <c r="AP486"/>
  <c r="BI486" s="1"/>
  <c r="AC486" s="1"/>
  <c r="AO486"/>
  <c r="BH486" s="1"/>
  <c r="AB486" s="1"/>
  <c r="AK486"/>
  <c r="AJ486"/>
  <c r="AH486"/>
  <c r="AG486"/>
  <c r="AF486"/>
  <c r="AE486"/>
  <c r="AD486"/>
  <c r="Z486"/>
  <c r="I486"/>
  <c r="AL486" s="1"/>
  <c r="BJ485"/>
  <c r="BF485"/>
  <c r="BD485"/>
  <c r="AP485"/>
  <c r="AX485" s="1"/>
  <c r="AO485"/>
  <c r="BH485" s="1"/>
  <c r="AB485" s="1"/>
  <c r="AK485"/>
  <c r="AJ485"/>
  <c r="AH485"/>
  <c r="AG485"/>
  <c r="AF485"/>
  <c r="AE485"/>
  <c r="AD485"/>
  <c r="Z485"/>
  <c r="I485"/>
  <c r="AL485" s="1"/>
  <c r="BJ483"/>
  <c r="BF483"/>
  <c r="BD483"/>
  <c r="AX483"/>
  <c r="AP483"/>
  <c r="BI483" s="1"/>
  <c r="AC483" s="1"/>
  <c r="AO483"/>
  <c r="AW483" s="1"/>
  <c r="AK483"/>
  <c r="AJ483"/>
  <c r="AH483"/>
  <c r="AG483"/>
  <c r="AF483"/>
  <c r="AE483"/>
  <c r="AD483"/>
  <c r="Z483"/>
  <c r="I483"/>
  <c r="AL483" s="1"/>
  <c r="BJ482"/>
  <c r="BF482"/>
  <c r="BD482"/>
  <c r="AW482"/>
  <c r="AP482"/>
  <c r="AX482" s="1"/>
  <c r="AO482"/>
  <c r="BH482" s="1"/>
  <c r="AB482" s="1"/>
  <c r="AL482"/>
  <c r="AK482"/>
  <c r="AJ482"/>
  <c r="AH482"/>
  <c r="AG482"/>
  <c r="AF482"/>
  <c r="AE482"/>
  <c r="AD482"/>
  <c r="Z482"/>
  <c r="I482"/>
  <c r="BJ480"/>
  <c r="BF480"/>
  <c r="BD480"/>
  <c r="AP480"/>
  <c r="BI480" s="1"/>
  <c r="AC480" s="1"/>
  <c r="AO480"/>
  <c r="AW480" s="1"/>
  <c r="AK480"/>
  <c r="AT474" s="1"/>
  <c r="AJ480"/>
  <c r="AH480"/>
  <c r="AG480"/>
  <c r="AF480"/>
  <c r="AE480"/>
  <c r="AD480"/>
  <c r="Z480"/>
  <c r="I480"/>
  <c r="AL480" s="1"/>
  <c r="BJ478"/>
  <c r="BI478"/>
  <c r="AC478" s="1"/>
  <c r="BF478"/>
  <c r="BD478"/>
  <c r="AP478"/>
  <c r="AX478" s="1"/>
  <c r="AO478"/>
  <c r="BH478" s="1"/>
  <c r="AB478" s="1"/>
  <c r="AK478"/>
  <c r="AJ478"/>
  <c r="AS474" s="1"/>
  <c r="AH478"/>
  <c r="AG478"/>
  <c r="AF478"/>
  <c r="AE478"/>
  <c r="AD478"/>
  <c r="Z478"/>
  <c r="I478"/>
  <c r="AL478" s="1"/>
  <c r="BJ476"/>
  <c r="BH476"/>
  <c r="AB476" s="1"/>
  <c r="BF476"/>
  <c r="BD476"/>
  <c r="AX476"/>
  <c r="AP476"/>
  <c r="BI476" s="1"/>
  <c r="AC476" s="1"/>
  <c r="AO476"/>
  <c r="AW476" s="1"/>
  <c r="AK476"/>
  <c r="AJ476"/>
  <c r="AH476"/>
  <c r="AG476"/>
  <c r="AF476"/>
  <c r="AE476"/>
  <c r="AD476"/>
  <c r="Z476"/>
  <c r="I476"/>
  <c r="BJ475"/>
  <c r="BF475"/>
  <c r="BD475"/>
  <c r="AX475"/>
  <c r="AW475"/>
  <c r="AP475"/>
  <c r="BI475" s="1"/>
  <c r="AC475" s="1"/>
  <c r="AO475"/>
  <c r="BH475" s="1"/>
  <c r="AB475" s="1"/>
  <c r="AL475"/>
  <c r="AK475"/>
  <c r="AJ475"/>
  <c r="AH475"/>
  <c r="AG475"/>
  <c r="AF475"/>
  <c r="AE475"/>
  <c r="AD475"/>
  <c r="Z475"/>
  <c r="I475"/>
  <c r="BJ471"/>
  <c r="BF471"/>
  <c r="BD471"/>
  <c r="AW471"/>
  <c r="AP471"/>
  <c r="BI471" s="1"/>
  <c r="AC471" s="1"/>
  <c r="AO471"/>
  <c r="BH471" s="1"/>
  <c r="AK471"/>
  <c r="AJ471"/>
  <c r="AH471"/>
  <c r="AG471"/>
  <c r="AF471"/>
  <c r="AE471"/>
  <c r="AD471"/>
  <c r="AB471"/>
  <c r="Z471"/>
  <c r="I471"/>
  <c r="AL471" s="1"/>
  <c r="AU470" s="1"/>
  <c r="AT470"/>
  <c r="AS470"/>
  <c r="I470"/>
  <c r="BJ468"/>
  <c r="BI468"/>
  <c r="AC468" s="1"/>
  <c r="BH468"/>
  <c r="AB468" s="1"/>
  <c r="BF468"/>
  <c r="BD468"/>
  <c r="AX468"/>
  <c r="BC468" s="1"/>
  <c r="AP468"/>
  <c r="AO468"/>
  <c r="AW468" s="1"/>
  <c r="AK468"/>
  <c r="AJ468"/>
  <c r="AH468"/>
  <c r="AG468"/>
  <c r="AF468"/>
  <c r="AE468"/>
  <c r="AD468"/>
  <c r="Z468"/>
  <c r="I468"/>
  <c r="AL468" s="1"/>
  <c r="BJ467"/>
  <c r="BF467"/>
  <c r="BD467"/>
  <c r="AX467"/>
  <c r="AP467"/>
  <c r="BI467" s="1"/>
  <c r="AO467"/>
  <c r="BH467" s="1"/>
  <c r="AB467" s="1"/>
  <c r="AL467"/>
  <c r="AK467"/>
  <c r="AJ467"/>
  <c r="AH467"/>
  <c r="AG467"/>
  <c r="AF467"/>
  <c r="AE467"/>
  <c r="AD467"/>
  <c r="AC467"/>
  <c r="Z467"/>
  <c r="I467"/>
  <c r="BJ466"/>
  <c r="BF466"/>
  <c r="BD466"/>
  <c r="AW466"/>
  <c r="AP466"/>
  <c r="AX466" s="1"/>
  <c r="AV466" s="1"/>
  <c r="AO466"/>
  <c r="BH466" s="1"/>
  <c r="AL466"/>
  <c r="AK466"/>
  <c r="AJ466"/>
  <c r="AH466"/>
  <c r="AG466"/>
  <c r="AF466"/>
  <c r="AE466"/>
  <c r="AD466"/>
  <c r="AB466"/>
  <c r="Z466"/>
  <c r="I466"/>
  <c r="BJ463"/>
  <c r="BF463"/>
  <c r="BD463"/>
  <c r="AP463"/>
  <c r="AO463"/>
  <c r="AW463" s="1"/>
  <c r="AK463"/>
  <c r="AJ463"/>
  <c r="AH463"/>
  <c r="AG463"/>
  <c r="AF463"/>
  <c r="AE463"/>
  <c r="AD463"/>
  <c r="Z463"/>
  <c r="I463"/>
  <c r="AL463" s="1"/>
  <c r="BJ458"/>
  <c r="BF458"/>
  <c r="BD458"/>
  <c r="AP458"/>
  <c r="AX458" s="1"/>
  <c r="AO458"/>
  <c r="AK458"/>
  <c r="AJ458"/>
  <c r="AH458"/>
  <c r="AG458"/>
  <c r="AF458"/>
  <c r="AE458"/>
  <c r="AD458"/>
  <c r="Z458"/>
  <c r="I458"/>
  <c r="AL458" s="1"/>
  <c r="BJ453"/>
  <c r="BH453"/>
  <c r="AB453" s="1"/>
  <c r="BF453"/>
  <c r="BD453"/>
  <c r="AX453"/>
  <c r="AW453"/>
  <c r="AP453"/>
  <c r="BI453" s="1"/>
  <c r="AC453" s="1"/>
  <c r="AO453"/>
  <c r="AK453"/>
  <c r="AJ453"/>
  <c r="AH453"/>
  <c r="AG453"/>
  <c r="AF453"/>
  <c r="AE453"/>
  <c r="AD453"/>
  <c r="Z453"/>
  <c r="I453"/>
  <c r="AL453" s="1"/>
  <c r="BJ451"/>
  <c r="BF451"/>
  <c r="BD451"/>
  <c r="AW451"/>
  <c r="AP451"/>
  <c r="AX451" s="1"/>
  <c r="AO451"/>
  <c r="BH451" s="1"/>
  <c r="AB451" s="1"/>
  <c r="AL451"/>
  <c r="AK451"/>
  <c r="AJ451"/>
  <c r="AH451"/>
  <c r="AG451"/>
  <c r="AF451"/>
  <c r="AE451"/>
  <c r="AD451"/>
  <c r="Z451"/>
  <c r="I451"/>
  <c r="BJ448"/>
  <c r="BI448"/>
  <c r="AC448" s="1"/>
  <c r="BF448"/>
  <c r="BD448"/>
  <c r="BC448"/>
  <c r="AP448"/>
  <c r="AX448" s="1"/>
  <c r="AO448"/>
  <c r="AW448" s="1"/>
  <c r="AV448" s="1"/>
  <c r="AK448"/>
  <c r="AJ448"/>
  <c r="AH448"/>
  <c r="AG448"/>
  <c r="AF448"/>
  <c r="AE448"/>
  <c r="AD448"/>
  <c r="Z448"/>
  <c r="I448"/>
  <c r="AL448" s="1"/>
  <c r="BJ442"/>
  <c r="BI442"/>
  <c r="AC442" s="1"/>
  <c r="BH442"/>
  <c r="AB442" s="1"/>
  <c r="BF442"/>
  <c r="BD442"/>
  <c r="AX442"/>
  <c r="BC442" s="1"/>
  <c r="AP442"/>
  <c r="AO442"/>
  <c r="AW442" s="1"/>
  <c r="AK442"/>
  <c r="AJ442"/>
  <c r="AH442"/>
  <c r="AG442"/>
  <c r="AF442"/>
  <c r="AE442"/>
  <c r="AD442"/>
  <c r="Z442"/>
  <c r="I442"/>
  <c r="AL442" s="1"/>
  <c r="BJ439"/>
  <c r="BF439"/>
  <c r="BD439"/>
  <c r="AX439"/>
  <c r="AP439"/>
  <c r="BI439" s="1"/>
  <c r="AO439"/>
  <c r="BH439" s="1"/>
  <c r="AB439" s="1"/>
  <c r="AL439"/>
  <c r="AK439"/>
  <c r="AJ439"/>
  <c r="AH439"/>
  <c r="AG439"/>
  <c r="AF439"/>
  <c r="AE439"/>
  <c r="AD439"/>
  <c r="AC439"/>
  <c r="Z439"/>
  <c r="I439"/>
  <c r="BJ434"/>
  <c r="BF434"/>
  <c r="BD434"/>
  <c r="AW434"/>
  <c r="AP434"/>
  <c r="AX434" s="1"/>
  <c r="AV434" s="1"/>
  <c r="AO434"/>
  <c r="BH434" s="1"/>
  <c r="AL434"/>
  <c r="AK434"/>
  <c r="AJ434"/>
  <c r="AH434"/>
  <c r="AG434"/>
  <c r="AF434"/>
  <c r="AE434"/>
  <c r="AD434"/>
  <c r="AB434"/>
  <c r="Z434"/>
  <c r="I434"/>
  <c r="BJ430"/>
  <c r="BF430"/>
  <c r="BD430"/>
  <c r="AP430"/>
  <c r="AO430"/>
  <c r="AW430" s="1"/>
  <c r="AK430"/>
  <c r="AJ430"/>
  <c r="AH430"/>
  <c r="AG430"/>
  <c r="AF430"/>
  <c r="AE430"/>
  <c r="AD430"/>
  <c r="Z430"/>
  <c r="I430"/>
  <c r="AL430" s="1"/>
  <c r="BJ429"/>
  <c r="BF429"/>
  <c r="BD429"/>
  <c r="AX429"/>
  <c r="AW429"/>
  <c r="AP429"/>
  <c r="BI429" s="1"/>
  <c r="AC429" s="1"/>
  <c r="AO429"/>
  <c r="BH429" s="1"/>
  <c r="AB429" s="1"/>
  <c r="AL429"/>
  <c r="AK429"/>
  <c r="AJ429"/>
  <c r="AH429"/>
  <c r="AG429"/>
  <c r="AF429"/>
  <c r="AE429"/>
  <c r="AD429"/>
  <c r="Z429"/>
  <c r="I429"/>
  <c r="BJ426"/>
  <c r="BF426"/>
  <c r="BD426"/>
  <c r="AW426"/>
  <c r="BC426" s="1"/>
  <c r="AV426"/>
  <c r="AP426"/>
  <c r="AX426" s="1"/>
  <c r="AO426"/>
  <c r="BH426" s="1"/>
  <c r="AL426"/>
  <c r="AK426"/>
  <c r="AJ426"/>
  <c r="AH426"/>
  <c r="AG426"/>
  <c r="AF426"/>
  <c r="AE426"/>
  <c r="AD426"/>
  <c r="AB426"/>
  <c r="Z426"/>
  <c r="I426"/>
  <c r="BJ423"/>
  <c r="BF423"/>
  <c r="BD423"/>
  <c r="AP423"/>
  <c r="AX423" s="1"/>
  <c r="AO423"/>
  <c r="AW423" s="1"/>
  <c r="AK423"/>
  <c r="AJ423"/>
  <c r="AH423"/>
  <c r="AG423"/>
  <c r="AF423"/>
  <c r="AE423"/>
  <c r="AD423"/>
  <c r="Z423"/>
  <c r="I423"/>
  <c r="AL423" s="1"/>
  <c r="BJ419"/>
  <c r="BH419"/>
  <c r="AB419" s="1"/>
  <c r="BF419"/>
  <c r="BD419"/>
  <c r="AX419"/>
  <c r="AP419"/>
  <c r="BI419" s="1"/>
  <c r="AC419" s="1"/>
  <c r="AO419"/>
  <c r="AW419" s="1"/>
  <c r="AK419"/>
  <c r="AJ419"/>
  <c r="AH419"/>
  <c r="AG419"/>
  <c r="AF419"/>
  <c r="AE419"/>
  <c r="AD419"/>
  <c r="Z419"/>
  <c r="I419"/>
  <c r="AL419" s="1"/>
  <c r="BJ412"/>
  <c r="BF412"/>
  <c r="BD412"/>
  <c r="AX412"/>
  <c r="AW412"/>
  <c r="AP412"/>
  <c r="BI412" s="1"/>
  <c r="AC412" s="1"/>
  <c r="AO412"/>
  <c r="BH412" s="1"/>
  <c r="AB412" s="1"/>
  <c r="AL412"/>
  <c r="AK412"/>
  <c r="AJ412"/>
  <c r="AH412"/>
  <c r="AG412"/>
  <c r="AF412"/>
  <c r="AE412"/>
  <c r="AD412"/>
  <c r="Z412"/>
  <c r="I412"/>
  <c r="BJ409"/>
  <c r="BF409"/>
  <c r="BD409"/>
  <c r="AW409"/>
  <c r="BC409" s="1"/>
  <c r="AV409"/>
  <c r="AP409"/>
  <c r="AX409" s="1"/>
  <c r="AO409"/>
  <c r="BH409" s="1"/>
  <c r="AL409"/>
  <c r="AK409"/>
  <c r="AJ409"/>
  <c r="AH409"/>
  <c r="AG409"/>
  <c r="AF409"/>
  <c r="AE409"/>
  <c r="AD409"/>
  <c r="AB409"/>
  <c r="Z409"/>
  <c r="I409"/>
  <c r="BJ406"/>
  <c r="BI406"/>
  <c r="AC406" s="1"/>
  <c r="BF406"/>
  <c r="BD406"/>
  <c r="AW406"/>
  <c r="AP406"/>
  <c r="AX406" s="1"/>
  <c r="AV406" s="1"/>
  <c r="AO406"/>
  <c r="BH406" s="1"/>
  <c r="AB406" s="1"/>
  <c r="AK406"/>
  <c r="AJ406"/>
  <c r="AH406"/>
  <c r="AG406"/>
  <c r="AF406"/>
  <c r="AE406"/>
  <c r="AD406"/>
  <c r="Z406"/>
  <c r="I406"/>
  <c r="AL406" s="1"/>
  <c r="BJ399"/>
  <c r="BH399"/>
  <c r="AB399" s="1"/>
  <c r="BF399"/>
  <c r="BD399"/>
  <c r="AX399"/>
  <c r="AP399"/>
  <c r="BI399" s="1"/>
  <c r="AC399" s="1"/>
  <c r="AO399"/>
  <c r="AW399" s="1"/>
  <c r="AK399"/>
  <c r="AJ399"/>
  <c r="AH399"/>
  <c r="AG399"/>
  <c r="AF399"/>
  <c r="AE399"/>
  <c r="AD399"/>
  <c r="Z399"/>
  <c r="I399"/>
  <c r="AL399" s="1"/>
  <c r="BJ395"/>
  <c r="BF395"/>
  <c r="BD395"/>
  <c r="AX395"/>
  <c r="AW395"/>
  <c r="AP395"/>
  <c r="BI395" s="1"/>
  <c r="AC395" s="1"/>
  <c r="AO395"/>
  <c r="BH395" s="1"/>
  <c r="AB395" s="1"/>
  <c r="AL395"/>
  <c r="AK395"/>
  <c r="AJ395"/>
  <c r="AH395"/>
  <c r="AG395"/>
  <c r="AF395"/>
  <c r="AE395"/>
  <c r="AD395"/>
  <c r="Z395"/>
  <c r="I395"/>
  <c r="BJ392"/>
  <c r="BF392"/>
  <c r="BD392"/>
  <c r="AW392"/>
  <c r="BC392" s="1"/>
  <c r="AV392"/>
  <c r="AP392"/>
  <c r="AX392" s="1"/>
  <c r="AO392"/>
  <c r="BH392" s="1"/>
  <c r="AB392" s="1"/>
  <c r="AL392"/>
  <c r="AK392"/>
  <c r="AJ392"/>
  <c r="AH392"/>
  <c r="AG392"/>
  <c r="AF392"/>
  <c r="AE392"/>
  <c r="AD392"/>
  <c r="Z392"/>
  <c r="I392"/>
  <c r="BJ391"/>
  <c r="BI391"/>
  <c r="AC391" s="1"/>
  <c r="BF391"/>
  <c r="BD391"/>
  <c r="BC391"/>
  <c r="AW391"/>
  <c r="AP391"/>
  <c r="AX391" s="1"/>
  <c r="AV391" s="1"/>
  <c r="AO391"/>
  <c r="BH391" s="1"/>
  <c r="AB391" s="1"/>
  <c r="AK391"/>
  <c r="AT388" s="1"/>
  <c r="AJ391"/>
  <c r="AH391"/>
  <c r="AG391"/>
  <c r="AF391"/>
  <c r="AE391"/>
  <c r="AD391"/>
  <c r="Z391"/>
  <c r="I391"/>
  <c r="AL391" s="1"/>
  <c r="BJ390"/>
  <c r="BH390"/>
  <c r="AB390" s="1"/>
  <c r="BF390"/>
  <c r="BD390"/>
  <c r="AX390"/>
  <c r="AP390"/>
  <c r="BI390" s="1"/>
  <c r="AC390" s="1"/>
  <c r="AO390"/>
  <c r="AW390" s="1"/>
  <c r="AK390"/>
  <c r="AJ390"/>
  <c r="AH390"/>
  <c r="AG390"/>
  <c r="AF390"/>
  <c r="AE390"/>
  <c r="AD390"/>
  <c r="Z390"/>
  <c r="I390"/>
  <c r="BJ389"/>
  <c r="BF389"/>
  <c r="BD389"/>
  <c r="AX389"/>
  <c r="AW389"/>
  <c r="AP389"/>
  <c r="BI389" s="1"/>
  <c r="AO389"/>
  <c r="BH389" s="1"/>
  <c r="AB389" s="1"/>
  <c r="AL389"/>
  <c r="AK389"/>
  <c r="AJ389"/>
  <c r="AH389"/>
  <c r="AG389"/>
  <c r="AF389"/>
  <c r="AE389"/>
  <c r="AD389"/>
  <c r="AC389"/>
  <c r="Z389"/>
  <c r="I389"/>
  <c r="BJ386"/>
  <c r="BF386"/>
  <c r="BD386"/>
  <c r="AX386"/>
  <c r="AW386"/>
  <c r="AP386"/>
  <c r="BI386" s="1"/>
  <c r="AO386"/>
  <c r="BH386" s="1"/>
  <c r="AL386"/>
  <c r="AK386"/>
  <c r="AJ386"/>
  <c r="AH386"/>
  <c r="AG386"/>
  <c r="AF386"/>
  <c r="AE386"/>
  <c r="AD386"/>
  <c r="AC386"/>
  <c r="AB386"/>
  <c r="Z386"/>
  <c r="I386"/>
  <c r="BJ385"/>
  <c r="BF385"/>
  <c r="BD385"/>
  <c r="AW385"/>
  <c r="AV385"/>
  <c r="AP385"/>
  <c r="AX385" s="1"/>
  <c r="AO385"/>
  <c r="BH385" s="1"/>
  <c r="AB385" s="1"/>
  <c r="AL385"/>
  <c r="AK385"/>
  <c r="AJ385"/>
  <c r="AH385"/>
  <c r="AG385"/>
  <c r="AF385"/>
  <c r="AE385"/>
  <c r="AD385"/>
  <c r="Z385"/>
  <c r="I385"/>
  <c r="BJ384"/>
  <c r="BF384"/>
  <c r="BD384"/>
  <c r="AP384"/>
  <c r="AX384" s="1"/>
  <c r="AO384"/>
  <c r="AW384" s="1"/>
  <c r="AK384"/>
  <c r="AJ384"/>
  <c r="AH384"/>
  <c r="AG384"/>
  <c r="AF384"/>
  <c r="AE384"/>
  <c r="AD384"/>
  <c r="Z384"/>
  <c r="I384"/>
  <c r="AL384" s="1"/>
  <c r="BJ383"/>
  <c r="BF383"/>
  <c r="BD383"/>
  <c r="AX383"/>
  <c r="AP383"/>
  <c r="BI383" s="1"/>
  <c r="AC383" s="1"/>
  <c r="AO383"/>
  <c r="AK383"/>
  <c r="AJ383"/>
  <c r="AH383"/>
  <c r="AG383"/>
  <c r="AF383"/>
  <c r="AE383"/>
  <c r="AD383"/>
  <c r="Z383"/>
  <c r="I383"/>
  <c r="AL383" s="1"/>
  <c r="BJ382"/>
  <c r="BF382"/>
  <c r="BD382"/>
  <c r="AX382"/>
  <c r="AW382"/>
  <c r="AP382"/>
  <c r="BI382" s="1"/>
  <c r="AO382"/>
  <c r="BH382" s="1"/>
  <c r="AB382" s="1"/>
  <c r="AL382"/>
  <c r="AK382"/>
  <c r="AJ382"/>
  <c r="AH382"/>
  <c r="AG382"/>
  <c r="AF382"/>
  <c r="AE382"/>
  <c r="AD382"/>
  <c r="AC382"/>
  <c r="Z382"/>
  <c r="I382"/>
  <c r="BJ381"/>
  <c r="BF381"/>
  <c r="BD381"/>
  <c r="AW381"/>
  <c r="AV381"/>
  <c r="AP381"/>
  <c r="AX381" s="1"/>
  <c r="AO381"/>
  <c r="BH381" s="1"/>
  <c r="AB381" s="1"/>
  <c r="AL381"/>
  <c r="AK381"/>
  <c r="AJ381"/>
  <c r="AH381"/>
  <c r="AG381"/>
  <c r="AF381"/>
  <c r="AE381"/>
  <c r="AD381"/>
  <c r="Z381"/>
  <c r="I381"/>
  <c r="BJ380"/>
  <c r="BF380"/>
  <c r="BD380"/>
  <c r="AP380"/>
  <c r="AX380" s="1"/>
  <c r="AO380"/>
  <c r="AW380" s="1"/>
  <c r="AK380"/>
  <c r="AJ380"/>
  <c r="AH380"/>
  <c r="AG380"/>
  <c r="AF380"/>
  <c r="AE380"/>
  <c r="AD380"/>
  <c r="Z380"/>
  <c r="I380"/>
  <c r="AL380" s="1"/>
  <c r="BJ377"/>
  <c r="BF377"/>
  <c r="BD377"/>
  <c r="AX377"/>
  <c r="AP377"/>
  <c r="BI377" s="1"/>
  <c r="AC377" s="1"/>
  <c r="AO377"/>
  <c r="AK377"/>
  <c r="AJ377"/>
  <c r="AS374" s="1"/>
  <c r="AH377"/>
  <c r="AG377"/>
  <c r="AF377"/>
  <c r="AE377"/>
  <c r="AD377"/>
  <c r="Z377"/>
  <c r="I377"/>
  <c r="AL377" s="1"/>
  <c r="BJ376"/>
  <c r="BF376"/>
  <c r="BD376"/>
  <c r="AX376"/>
  <c r="AW376"/>
  <c r="AP376"/>
  <c r="BI376" s="1"/>
  <c r="AO376"/>
  <c r="BH376" s="1"/>
  <c r="AB376" s="1"/>
  <c r="AL376"/>
  <c r="AK376"/>
  <c r="AJ376"/>
  <c r="AH376"/>
  <c r="AG376"/>
  <c r="AF376"/>
  <c r="AE376"/>
  <c r="AD376"/>
  <c r="AC376"/>
  <c r="Z376"/>
  <c r="I376"/>
  <c r="BJ375"/>
  <c r="BF375"/>
  <c r="BD375"/>
  <c r="AW375"/>
  <c r="AV375"/>
  <c r="AP375"/>
  <c r="AX375" s="1"/>
  <c r="AO375"/>
  <c r="BH375" s="1"/>
  <c r="AB375" s="1"/>
  <c r="AL375"/>
  <c r="AK375"/>
  <c r="AT374" s="1"/>
  <c r="AJ375"/>
  <c r="AH375"/>
  <c r="AG375"/>
  <c r="AF375"/>
  <c r="AE375"/>
  <c r="AD375"/>
  <c r="Z375"/>
  <c r="I375"/>
  <c r="BJ373"/>
  <c r="BF373"/>
  <c r="BD373"/>
  <c r="AP373"/>
  <c r="AX373" s="1"/>
  <c r="AO373"/>
  <c r="AW373" s="1"/>
  <c r="AK373"/>
  <c r="AJ373"/>
  <c r="AH373"/>
  <c r="AG373"/>
  <c r="AF373"/>
  <c r="AE373"/>
  <c r="AD373"/>
  <c r="Z373"/>
  <c r="I373"/>
  <c r="AL373" s="1"/>
  <c r="BJ370"/>
  <c r="BH370"/>
  <c r="AB370" s="1"/>
  <c r="BF370"/>
  <c r="BD370"/>
  <c r="AX370"/>
  <c r="AP370"/>
  <c r="BI370" s="1"/>
  <c r="AC370" s="1"/>
  <c r="AO370"/>
  <c r="AW370" s="1"/>
  <c r="AK370"/>
  <c r="AJ370"/>
  <c r="AH370"/>
  <c r="AG370"/>
  <c r="AF370"/>
  <c r="AE370"/>
  <c r="AD370"/>
  <c r="Z370"/>
  <c r="I370"/>
  <c r="AL370" s="1"/>
  <c r="BJ367"/>
  <c r="BF367"/>
  <c r="BD367"/>
  <c r="AX367"/>
  <c r="AW367"/>
  <c r="AP367"/>
  <c r="BI367" s="1"/>
  <c r="AC367" s="1"/>
  <c r="AO367"/>
  <c r="BH367" s="1"/>
  <c r="AB367" s="1"/>
  <c r="AL367"/>
  <c r="AK367"/>
  <c r="AJ367"/>
  <c r="AH367"/>
  <c r="AG367"/>
  <c r="AF367"/>
  <c r="AE367"/>
  <c r="AD367"/>
  <c r="Z367"/>
  <c r="I367"/>
  <c r="I361" s="1"/>
  <c r="BJ365"/>
  <c r="BF365"/>
  <c r="BD365"/>
  <c r="AW365"/>
  <c r="BC365" s="1"/>
  <c r="AV365"/>
  <c r="AP365"/>
  <c r="AX365" s="1"/>
  <c r="AO365"/>
  <c r="BH365" s="1"/>
  <c r="AL365"/>
  <c r="AK365"/>
  <c r="AT361" s="1"/>
  <c r="AJ365"/>
  <c r="AH365"/>
  <c r="AG365"/>
  <c r="AF365"/>
  <c r="AE365"/>
  <c r="AD365"/>
  <c r="AB365"/>
  <c r="Z365"/>
  <c r="I365"/>
  <c r="BJ362"/>
  <c r="BI362"/>
  <c r="AC362" s="1"/>
  <c r="BF362"/>
  <c r="BD362"/>
  <c r="AP362"/>
  <c r="AX362" s="1"/>
  <c r="AO362"/>
  <c r="AW362" s="1"/>
  <c r="AK362"/>
  <c r="AJ362"/>
  <c r="AH362"/>
  <c r="AG362"/>
  <c r="AF362"/>
  <c r="AE362"/>
  <c r="AD362"/>
  <c r="Z362"/>
  <c r="I362"/>
  <c r="AL362" s="1"/>
  <c r="AU361" s="1"/>
  <c r="AS361"/>
  <c r="BJ360"/>
  <c r="BH360"/>
  <c r="AB360" s="1"/>
  <c r="BF360"/>
  <c r="BD360"/>
  <c r="AX360"/>
  <c r="AP360"/>
  <c r="BI360" s="1"/>
  <c r="AC360" s="1"/>
  <c r="AO360"/>
  <c r="AW360" s="1"/>
  <c r="AK360"/>
  <c r="AJ360"/>
  <c r="AH360"/>
  <c r="AG360"/>
  <c r="AF360"/>
  <c r="AE360"/>
  <c r="AD360"/>
  <c r="Z360"/>
  <c r="I360"/>
  <c r="AL360" s="1"/>
  <c r="BJ357"/>
  <c r="BF357"/>
  <c r="BD357"/>
  <c r="AX357"/>
  <c r="AW357"/>
  <c r="AP357"/>
  <c r="BI357" s="1"/>
  <c r="AC357" s="1"/>
  <c r="AO357"/>
  <c r="BH357" s="1"/>
  <c r="AB357" s="1"/>
  <c r="AL357"/>
  <c r="AK357"/>
  <c r="AJ357"/>
  <c r="AH357"/>
  <c r="AG357"/>
  <c r="AF357"/>
  <c r="AE357"/>
  <c r="AD357"/>
  <c r="Z357"/>
  <c r="I357"/>
  <c r="BJ355"/>
  <c r="BF355"/>
  <c r="BD355"/>
  <c r="AW355"/>
  <c r="BC355" s="1"/>
  <c r="AV355"/>
  <c r="AP355"/>
  <c r="AX355" s="1"/>
  <c r="AO355"/>
  <c r="BH355" s="1"/>
  <c r="AB355" s="1"/>
  <c r="AL355"/>
  <c r="AK355"/>
  <c r="AJ355"/>
  <c r="AH355"/>
  <c r="AG355"/>
  <c r="AF355"/>
  <c r="AE355"/>
  <c r="AD355"/>
  <c r="Z355"/>
  <c r="I355"/>
  <c r="BJ353"/>
  <c r="BF353"/>
  <c r="BD353"/>
  <c r="BC353"/>
  <c r="AP353"/>
  <c r="AX353" s="1"/>
  <c r="AO353"/>
  <c r="AW353" s="1"/>
  <c r="AK353"/>
  <c r="AJ353"/>
  <c r="AH353"/>
  <c r="AG353"/>
  <c r="AF353"/>
  <c r="AE353"/>
  <c r="AD353"/>
  <c r="Z353"/>
  <c r="I353"/>
  <c r="AL353" s="1"/>
  <c r="BJ351"/>
  <c r="BH351"/>
  <c r="AB351" s="1"/>
  <c r="BF351"/>
  <c r="BD351"/>
  <c r="AX351"/>
  <c r="AP351"/>
  <c r="BI351" s="1"/>
  <c r="AC351" s="1"/>
  <c r="AO351"/>
  <c r="AW351" s="1"/>
  <c r="AK351"/>
  <c r="AJ351"/>
  <c r="AS348" s="1"/>
  <c r="AH351"/>
  <c r="AG351"/>
  <c r="AF351"/>
  <c r="AE351"/>
  <c r="AD351"/>
  <c r="Z351"/>
  <c r="I351"/>
  <c r="BJ349"/>
  <c r="BF349"/>
  <c r="BD349"/>
  <c r="AX349"/>
  <c r="AW349"/>
  <c r="AP349"/>
  <c r="BI349" s="1"/>
  <c r="AC349" s="1"/>
  <c r="AO349"/>
  <c r="BH349" s="1"/>
  <c r="AB349" s="1"/>
  <c r="AL349"/>
  <c r="AK349"/>
  <c r="AJ349"/>
  <c r="AH349"/>
  <c r="AG349"/>
  <c r="AF349"/>
  <c r="AE349"/>
  <c r="AD349"/>
  <c r="Z349"/>
  <c r="I349"/>
  <c r="BJ346"/>
  <c r="BF346"/>
  <c r="BD346"/>
  <c r="AX346"/>
  <c r="AW346"/>
  <c r="AP346"/>
  <c r="BI346" s="1"/>
  <c r="AO346"/>
  <c r="BH346" s="1"/>
  <c r="AL346"/>
  <c r="AK346"/>
  <c r="AJ346"/>
  <c r="AH346"/>
  <c r="AG346"/>
  <c r="AF346"/>
  <c r="AE346"/>
  <c r="AD346"/>
  <c r="AC346"/>
  <c r="AB346"/>
  <c r="Z346"/>
  <c r="I346"/>
  <c r="BJ344"/>
  <c r="BF344"/>
  <c r="BD344"/>
  <c r="AW344"/>
  <c r="AP344"/>
  <c r="AX344" s="1"/>
  <c r="AV344" s="1"/>
  <c r="AO344"/>
  <c r="BH344" s="1"/>
  <c r="AD344" s="1"/>
  <c r="AL344"/>
  <c r="AK344"/>
  <c r="AJ344"/>
  <c r="AH344"/>
  <c r="AG344"/>
  <c r="AF344"/>
  <c r="AC344"/>
  <c r="AB344"/>
  <c r="Z344"/>
  <c r="I344"/>
  <c r="BJ343"/>
  <c r="BF343"/>
  <c r="BD343"/>
  <c r="BC343"/>
  <c r="AP343"/>
  <c r="AX343" s="1"/>
  <c r="AO343"/>
  <c r="AW343" s="1"/>
  <c r="AK343"/>
  <c r="AT340" s="1"/>
  <c r="AJ343"/>
  <c r="AS340" s="1"/>
  <c r="AH343"/>
  <c r="AG343"/>
  <c r="AF343"/>
  <c r="AC343"/>
  <c r="AB343"/>
  <c r="Z343"/>
  <c r="I343"/>
  <c r="AL343" s="1"/>
  <c r="BJ341"/>
  <c r="BF341"/>
  <c r="BD341"/>
  <c r="AX341"/>
  <c r="AP341"/>
  <c r="BI341" s="1"/>
  <c r="AE341" s="1"/>
  <c r="AO341"/>
  <c r="AW341" s="1"/>
  <c r="AK341"/>
  <c r="AJ341"/>
  <c r="AH341"/>
  <c r="AG341"/>
  <c r="AF341"/>
  <c r="AC341"/>
  <c r="AB341"/>
  <c r="Z341"/>
  <c r="I341"/>
  <c r="AL341" s="1"/>
  <c r="BJ339"/>
  <c r="BF339"/>
  <c r="BD339"/>
  <c r="AX339"/>
  <c r="AW339"/>
  <c r="AP339"/>
  <c r="BI339" s="1"/>
  <c r="AO339"/>
  <c r="BH339" s="1"/>
  <c r="AL339"/>
  <c r="AK339"/>
  <c r="AJ339"/>
  <c r="AH339"/>
  <c r="AG339"/>
  <c r="AF339"/>
  <c r="AE339"/>
  <c r="AD339"/>
  <c r="AC339"/>
  <c r="AB339"/>
  <c r="Z339"/>
  <c r="I339"/>
  <c r="BJ337"/>
  <c r="BF337"/>
  <c r="BD337"/>
  <c r="AX337"/>
  <c r="AW337"/>
  <c r="BC337" s="1"/>
  <c r="AV337"/>
  <c r="AP337"/>
  <c r="BI337" s="1"/>
  <c r="AE337" s="1"/>
  <c r="AO337"/>
  <c r="BH337" s="1"/>
  <c r="AD337" s="1"/>
  <c r="AL337"/>
  <c r="AK337"/>
  <c r="AJ337"/>
  <c r="AH337"/>
  <c r="AG337"/>
  <c r="AF337"/>
  <c r="AC337"/>
  <c r="AB337"/>
  <c r="Z337"/>
  <c r="I337"/>
  <c r="BJ335"/>
  <c r="BI335"/>
  <c r="AE335" s="1"/>
  <c r="BF335"/>
  <c r="BD335"/>
  <c r="BC335"/>
  <c r="AW335"/>
  <c r="AP335"/>
  <c r="AX335" s="1"/>
  <c r="AV335" s="1"/>
  <c r="AO335"/>
  <c r="BH335" s="1"/>
  <c r="AD335" s="1"/>
  <c r="AL335"/>
  <c r="AK335"/>
  <c r="AT331" s="1"/>
  <c r="AJ335"/>
  <c r="AS331" s="1"/>
  <c r="AH335"/>
  <c r="AG335"/>
  <c r="AF335"/>
  <c r="AC335"/>
  <c r="AB335"/>
  <c r="Z335"/>
  <c r="I335"/>
  <c r="BJ332"/>
  <c r="BH332"/>
  <c r="AD332" s="1"/>
  <c r="BF332"/>
  <c r="BD332"/>
  <c r="AX332"/>
  <c r="AP332"/>
  <c r="BI332" s="1"/>
  <c r="AE332" s="1"/>
  <c r="AO332"/>
  <c r="AW332" s="1"/>
  <c r="AK332"/>
  <c r="AJ332"/>
  <c r="AH332"/>
  <c r="AG332"/>
  <c r="AF332"/>
  <c r="AC332"/>
  <c r="AB332"/>
  <c r="Z332"/>
  <c r="I332"/>
  <c r="AL332" s="1"/>
  <c r="AU331" s="1"/>
  <c r="I331"/>
  <c r="BJ330"/>
  <c r="BF330"/>
  <c r="BD330"/>
  <c r="AX330"/>
  <c r="AW330"/>
  <c r="AP330"/>
  <c r="BI330" s="1"/>
  <c r="AO330"/>
  <c r="BH330" s="1"/>
  <c r="AL330"/>
  <c r="AK330"/>
  <c r="AJ330"/>
  <c r="AH330"/>
  <c r="AG330"/>
  <c r="AF330"/>
  <c r="AE330"/>
  <c r="AD330"/>
  <c r="AC330"/>
  <c r="AB330"/>
  <c r="Z330"/>
  <c r="I330"/>
  <c r="AU329"/>
  <c r="AT329"/>
  <c r="AS329"/>
  <c r="I329"/>
  <c r="BJ327"/>
  <c r="BF327"/>
  <c r="BD327"/>
  <c r="AX327"/>
  <c r="AW327"/>
  <c r="BC327" s="1"/>
  <c r="AV327"/>
  <c r="AP327"/>
  <c r="BI327" s="1"/>
  <c r="AC327" s="1"/>
  <c r="AO327"/>
  <c r="BH327" s="1"/>
  <c r="AL327"/>
  <c r="AU324" s="1"/>
  <c r="AK327"/>
  <c r="AT324" s="1"/>
  <c r="AJ327"/>
  <c r="AH327"/>
  <c r="AG327"/>
  <c r="AF327"/>
  <c r="AE327"/>
  <c r="AD327"/>
  <c r="AB327"/>
  <c r="Z327"/>
  <c r="I327"/>
  <c r="I324" s="1"/>
  <c r="BJ325"/>
  <c r="BI325"/>
  <c r="AC325" s="1"/>
  <c r="BF325"/>
  <c r="BD325"/>
  <c r="AW325"/>
  <c r="AP325"/>
  <c r="AX325" s="1"/>
  <c r="AV325" s="1"/>
  <c r="AO325"/>
  <c r="BH325" s="1"/>
  <c r="AB325" s="1"/>
  <c r="AL325"/>
  <c r="AK325"/>
  <c r="AJ325"/>
  <c r="AH325"/>
  <c r="AG325"/>
  <c r="AF325"/>
  <c r="AE325"/>
  <c r="AD325"/>
  <c r="Z325"/>
  <c r="I325"/>
  <c r="AS324"/>
  <c r="BJ322"/>
  <c r="BF322"/>
  <c r="BD322"/>
  <c r="AX322"/>
  <c r="AP322"/>
  <c r="BI322" s="1"/>
  <c r="AC322" s="1"/>
  <c r="AO322"/>
  <c r="AK322"/>
  <c r="AJ322"/>
  <c r="AH322"/>
  <c r="AG322"/>
  <c r="AF322"/>
  <c r="AE322"/>
  <c r="AD322"/>
  <c r="Z322"/>
  <c r="I322"/>
  <c r="AL322" s="1"/>
  <c r="BJ319"/>
  <c r="BF319"/>
  <c r="BD319"/>
  <c r="AX319"/>
  <c r="AW319"/>
  <c r="AP319"/>
  <c r="BI319" s="1"/>
  <c r="AO319"/>
  <c r="BH319" s="1"/>
  <c r="AB319" s="1"/>
  <c r="AL319"/>
  <c r="AK319"/>
  <c r="AJ319"/>
  <c r="AH319"/>
  <c r="AG319"/>
  <c r="AF319"/>
  <c r="AE319"/>
  <c r="AD319"/>
  <c r="AC319"/>
  <c r="Z319"/>
  <c r="I319"/>
  <c r="BJ316"/>
  <c r="BF316"/>
  <c r="BD316"/>
  <c r="AX316"/>
  <c r="AW316"/>
  <c r="BC316" s="1"/>
  <c r="AV316"/>
  <c r="AP316"/>
  <c r="BI316" s="1"/>
  <c r="AC316" s="1"/>
  <c r="AO316"/>
  <c r="BH316" s="1"/>
  <c r="AL316"/>
  <c r="AK316"/>
  <c r="AJ316"/>
  <c r="AH316"/>
  <c r="AG316"/>
  <c r="AF316"/>
  <c r="AE316"/>
  <c r="AD316"/>
  <c r="AB316"/>
  <c r="Z316"/>
  <c r="I316"/>
  <c r="BJ314"/>
  <c r="BI314"/>
  <c r="AC314" s="1"/>
  <c r="BF314"/>
  <c r="BD314"/>
  <c r="AW314"/>
  <c r="AP314"/>
  <c r="AX314" s="1"/>
  <c r="AV314" s="1"/>
  <c r="AO314"/>
  <c r="BH314" s="1"/>
  <c r="AB314" s="1"/>
  <c r="AL314"/>
  <c r="AK314"/>
  <c r="AT311" s="1"/>
  <c r="AJ314"/>
  <c r="AH314"/>
  <c r="AG314"/>
  <c r="AF314"/>
  <c r="AE314"/>
  <c r="AD314"/>
  <c r="Z314"/>
  <c r="I314"/>
  <c r="BJ313"/>
  <c r="BH313"/>
  <c r="AB313" s="1"/>
  <c r="BF313"/>
  <c r="BD313"/>
  <c r="AX313"/>
  <c r="AP313"/>
  <c r="BI313" s="1"/>
  <c r="AC313" s="1"/>
  <c r="AO313"/>
  <c r="AW313" s="1"/>
  <c r="AK313"/>
  <c r="AJ313"/>
  <c r="AS311" s="1"/>
  <c r="AH313"/>
  <c r="AG313"/>
  <c r="AF313"/>
  <c r="AE313"/>
  <c r="AD313"/>
  <c r="Z313"/>
  <c r="I313"/>
  <c r="BJ312"/>
  <c r="BF312"/>
  <c r="BD312"/>
  <c r="AX312"/>
  <c r="AW312"/>
  <c r="AP312"/>
  <c r="BI312" s="1"/>
  <c r="AO312"/>
  <c r="BH312" s="1"/>
  <c r="AB312" s="1"/>
  <c r="AL312"/>
  <c r="AK312"/>
  <c r="AJ312"/>
  <c r="AH312"/>
  <c r="AG312"/>
  <c r="AF312"/>
  <c r="AE312"/>
  <c r="AD312"/>
  <c r="AC312"/>
  <c r="Z312"/>
  <c r="I312"/>
  <c r="BJ309"/>
  <c r="BF309"/>
  <c r="BD309"/>
  <c r="AW309"/>
  <c r="AV309"/>
  <c r="AP309"/>
  <c r="AX309" s="1"/>
  <c r="AO309"/>
  <c r="BH309" s="1"/>
  <c r="AB309" s="1"/>
  <c r="AL309"/>
  <c r="AK309"/>
  <c r="AJ309"/>
  <c r="AH309"/>
  <c r="AG309"/>
  <c r="AF309"/>
  <c r="AE309"/>
  <c r="AD309"/>
  <c r="Z309"/>
  <c r="I309"/>
  <c r="BJ306"/>
  <c r="BF306"/>
  <c r="BD306"/>
  <c r="AP306"/>
  <c r="AX306" s="1"/>
  <c r="AO306"/>
  <c r="AW306" s="1"/>
  <c r="AK306"/>
  <c r="AJ306"/>
  <c r="AH306"/>
  <c r="AG306"/>
  <c r="AF306"/>
  <c r="AE306"/>
  <c r="AD306"/>
  <c r="Z306"/>
  <c r="I306"/>
  <c r="AL306" s="1"/>
  <c r="BJ305"/>
  <c r="BF305"/>
  <c r="BD305"/>
  <c r="AX305"/>
  <c r="AP305"/>
  <c r="BI305" s="1"/>
  <c r="AC305" s="1"/>
  <c r="AO305"/>
  <c r="AK305"/>
  <c r="AJ305"/>
  <c r="AS300" s="1"/>
  <c r="AH305"/>
  <c r="AG305"/>
  <c r="AF305"/>
  <c r="AE305"/>
  <c r="AD305"/>
  <c r="Z305"/>
  <c r="I305"/>
  <c r="AL305" s="1"/>
  <c r="BJ303"/>
  <c r="BF303"/>
  <c r="BD303"/>
  <c r="AX303"/>
  <c r="AW303"/>
  <c r="AP303"/>
  <c r="BI303" s="1"/>
  <c r="AO303"/>
  <c r="BH303" s="1"/>
  <c r="AB303" s="1"/>
  <c r="AL303"/>
  <c r="AU300" s="1"/>
  <c r="AK303"/>
  <c r="AJ303"/>
  <c r="AH303"/>
  <c r="AG303"/>
  <c r="AF303"/>
  <c r="AE303"/>
  <c r="AD303"/>
  <c r="AC303"/>
  <c r="Z303"/>
  <c r="I303"/>
  <c r="BJ301"/>
  <c r="BF301"/>
  <c r="BD301"/>
  <c r="AW301"/>
  <c r="AV301"/>
  <c r="AP301"/>
  <c r="AX301" s="1"/>
  <c r="AO301"/>
  <c r="BH301" s="1"/>
  <c r="AL301"/>
  <c r="AK301"/>
  <c r="AT300" s="1"/>
  <c r="AJ301"/>
  <c r="AH301"/>
  <c r="AG301"/>
  <c r="AF301"/>
  <c r="AE301"/>
  <c r="AD301"/>
  <c r="AB301"/>
  <c r="Z301"/>
  <c r="I301"/>
  <c r="BJ298"/>
  <c r="BI298"/>
  <c r="AC298" s="1"/>
  <c r="BF298"/>
  <c r="BD298"/>
  <c r="AP298"/>
  <c r="AX298" s="1"/>
  <c r="AO298"/>
  <c r="AW298" s="1"/>
  <c r="AK298"/>
  <c r="AJ298"/>
  <c r="AH298"/>
  <c r="AG298"/>
  <c r="AF298"/>
  <c r="AE298"/>
  <c r="AD298"/>
  <c r="Z298"/>
  <c r="I298"/>
  <c r="AL298" s="1"/>
  <c r="BJ295"/>
  <c r="BH295"/>
  <c r="AB295" s="1"/>
  <c r="BF295"/>
  <c r="BD295"/>
  <c r="AX295"/>
  <c r="AP295"/>
  <c r="BI295" s="1"/>
  <c r="AC295" s="1"/>
  <c r="AO295"/>
  <c r="AW295" s="1"/>
  <c r="AK295"/>
  <c r="AJ295"/>
  <c r="AH295"/>
  <c r="AG295"/>
  <c r="AF295"/>
  <c r="AE295"/>
  <c r="AD295"/>
  <c r="Z295"/>
  <c r="I295"/>
  <c r="AL295" s="1"/>
  <c r="BJ292"/>
  <c r="BF292"/>
  <c r="BD292"/>
  <c r="AX292"/>
  <c r="AW292"/>
  <c r="AP292"/>
  <c r="BI292" s="1"/>
  <c r="AC292" s="1"/>
  <c r="AO292"/>
  <c r="BH292" s="1"/>
  <c r="AB292" s="1"/>
  <c r="AL292"/>
  <c r="AK292"/>
  <c r="AJ292"/>
  <c r="AH292"/>
  <c r="AG292"/>
  <c r="AF292"/>
  <c r="AE292"/>
  <c r="AD292"/>
  <c r="Z292"/>
  <c r="I292"/>
  <c r="BJ291"/>
  <c r="BF291"/>
  <c r="BD291"/>
  <c r="AX291"/>
  <c r="AW291"/>
  <c r="BC291" s="1"/>
  <c r="AV291"/>
  <c r="AP291"/>
  <c r="BI291" s="1"/>
  <c r="AC291" s="1"/>
  <c r="AO291"/>
  <c r="BH291" s="1"/>
  <c r="AB291" s="1"/>
  <c r="AL291"/>
  <c r="AK291"/>
  <c r="AJ291"/>
  <c r="AH291"/>
  <c r="AG291"/>
  <c r="AF291"/>
  <c r="AE291"/>
  <c r="AD291"/>
  <c r="Z291"/>
  <c r="I291"/>
  <c r="BJ289"/>
  <c r="BI289"/>
  <c r="AC289" s="1"/>
  <c r="BF289"/>
  <c r="BD289"/>
  <c r="BC289"/>
  <c r="AW289"/>
  <c r="AP289"/>
  <c r="AX289" s="1"/>
  <c r="AV289" s="1"/>
  <c r="AO289"/>
  <c r="BH289" s="1"/>
  <c r="AB289" s="1"/>
  <c r="AL289"/>
  <c r="AK289"/>
  <c r="AT284" s="1"/>
  <c r="AJ289"/>
  <c r="AH289"/>
  <c r="AG289"/>
  <c r="AF289"/>
  <c r="AE289"/>
  <c r="AD289"/>
  <c r="Z289"/>
  <c r="I289"/>
  <c r="BJ287"/>
  <c r="BF287"/>
  <c r="BD287"/>
  <c r="AX287"/>
  <c r="AP287"/>
  <c r="BI287" s="1"/>
  <c r="AC287" s="1"/>
  <c r="AO287"/>
  <c r="AK287"/>
  <c r="AJ287"/>
  <c r="AS284" s="1"/>
  <c r="AH287"/>
  <c r="AG287"/>
  <c r="AF287"/>
  <c r="AE287"/>
  <c r="AD287"/>
  <c r="Z287"/>
  <c r="I287"/>
  <c r="BJ285"/>
  <c r="BF285"/>
  <c r="BD285"/>
  <c r="AX285"/>
  <c r="AW285"/>
  <c r="AP285"/>
  <c r="BI285" s="1"/>
  <c r="AO285"/>
  <c r="BH285" s="1"/>
  <c r="AB285" s="1"/>
  <c r="AL285"/>
  <c r="AK285"/>
  <c r="AJ285"/>
  <c r="AH285"/>
  <c r="AG285"/>
  <c r="AF285"/>
  <c r="AE285"/>
  <c r="AD285"/>
  <c r="AC285"/>
  <c r="Z285"/>
  <c r="I285"/>
  <c r="BJ283"/>
  <c r="BF283"/>
  <c r="BD283"/>
  <c r="AX283"/>
  <c r="AW283"/>
  <c r="BC283" s="1"/>
  <c r="AV283"/>
  <c r="AP283"/>
  <c r="BI283" s="1"/>
  <c r="AC283" s="1"/>
  <c r="AO283"/>
  <c r="BH283" s="1"/>
  <c r="AB283" s="1"/>
  <c r="AL283"/>
  <c r="AK283"/>
  <c r="AJ283"/>
  <c r="AH283"/>
  <c r="AG283"/>
  <c r="AF283"/>
  <c r="AE283"/>
  <c r="AD283"/>
  <c r="Z283"/>
  <c r="I283"/>
  <c r="BJ282"/>
  <c r="BI282"/>
  <c r="AC282" s="1"/>
  <c r="BF282"/>
  <c r="BD282"/>
  <c r="BC282"/>
  <c r="AW282"/>
  <c r="AP282"/>
  <c r="AX282" s="1"/>
  <c r="AV282" s="1"/>
  <c r="AO282"/>
  <c r="BH282" s="1"/>
  <c r="AB282" s="1"/>
  <c r="AL282"/>
  <c r="AK282"/>
  <c r="AT280" s="1"/>
  <c r="AJ282"/>
  <c r="AS280" s="1"/>
  <c r="AH282"/>
  <c r="AG282"/>
  <c r="AF282"/>
  <c r="AE282"/>
  <c r="AD282"/>
  <c r="Z282"/>
  <c r="I282"/>
  <c r="BJ281"/>
  <c r="BF281"/>
  <c r="BD281"/>
  <c r="AX281"/>
  <c r="AP281"/>
  <c r="BI281" s="1"/>
  <c r="AC281" s="1"/>
  <c r="AO281"/>
  <c r="AK281"/>
  <c r="AJ281"/>
  <c r="AH281"/>
  <c r="AG281"/>
  <c r="AF281"/>
  <c r="AE281"/>
  <c r="AD281"/>
  <c r="Z281"/>
  <c r="I281"/>
  <c r="AL281" s="1"/>
  <c r="AU280" s="1"/>
  <c r="BJ279"/>
  <c r="BF279"/>
  <c r="BD279"/>
  <c r="AX279"/>
  <c r="AW279"/>
  <c r="AP279"/>
  <c r="BI279" s="1"/>
  <c r="AC279" s="1"/>
  <c r="AO279"/>
  <c r="BH279" s="1"/>
  <c r="AB279" s="1"/>
  <c r="AL279"/>
  <c r="AK279"/>
  <c r="AJ279"/>
  <c r="AH279"/>
  <c r="AG279"/>
  <c r="AF279"/>
  <c r="AE279"/>
  <c r="AD279"/>
  <c r="Z279"/>
  <c r="I279"/>
  <c r="BJ277"/>
  <c r="BF277"/>
  <c r="BD277"/>
  <c r="AX277"/>
  <c r="AW277"/>
  <c r="BC277" s="1"/>
  <c r="AV277"/>
  <c r="AP277"/>
  <c r="BI277" s="1"/>
  <c r="AC277" s="1"/>
  <c r="AO277"/>
  <c r="BH277" s="1"/>
  <c r="AB277" s="1"/>
  <c r="AL277"/>
  <c r="AK277"/>
  <c r="AJ277"/>
  <c r="AH277"/>
  <c r="AG277"/>
  <c r="AF277"/>
  <c r="AE277"/>
  <c r="AD277"/>
  <c r="Z277"/>
  <c r="I277"/>
  <c r="BJ274"/>
  <c r="BI274"/>
  <c r="AC274" s="1"/>
  <c r="BF274"/>
  <c r="BD274"/>
  <c r="BC274"/>
  <c r="AW274"/>
  <c r="AP274"/>
  <c r="AX274" s="1"/>
  <c r="AV274" s="1"/>
  <c r="AO274"/>
  <c r="BH274" s="1"/>
  <c r="AB274" s="1"/>
  <c r="AL274"/>
  <c r="AK274"/>
  <c r="AJ274"/>
  <c r="AH274"/>
  <c r="AG274"/>
  <c r="AF274"/>
  <c r="AE274"/>
  <c r="AD274"/>
  <c r="Z274"/>
  <c r="I274"/>
  <c r="BJ272"/>
  <c r="BF272"/>
  <c r="BD272"/>
  <c r="AX272"/>
  <c r="AP272"/>
  <c r="BI272" s="1"/>
  <c r="AC272" s="1"/>
  <c r="AO272"/>
  <c r="AK272"/>
  <c r="AJ272"/>
  <c r="AH272"/>
  <c r="AG272"/>
  <c r="AF272"/>
  <c r="AE272"/>
  <c r="AD272"/>
  <c r="Z272"/>
  <c r="I272"/>
  <c r="AL272" s="1"/>
  <c r="BJ271"/>
  <c r="BF271"/>
  <c r="BD271"/>
  <c r="AX271"/>
  <c r="AW271"/>
  <c r="AP271"/>
  <c r="BI271" s="1"/>
  <c r="AO271"/>
  <c r="BH271" s="1"/>
  <c r="AB271" s="1"/>
  <c r="AL271"/>
  <c r="AK271"/>
  <c r="AJ271"/>
  <c r="AH271"/>
  <c r="AG271"/>
  <c r="AF271"/>
  <c r="AE271"/>
  <c r="AD271"/>
  <c r="AC271"/>
  <c r="Z271"/>
  <c r="I271"/>
  <c r="BJ269"/>
  <c r="BF269"/>
  <c r="BD269"/>
  <c r="AX269"/>
  <c r="AW269"/>
  <c r="BC269" s="1"/>
  <c r="AV269"/>
  <c r="AP269"/>
  <c r="BI269" s="1"/>
  <c r="AC269" s="1"/>
  <c r="AO269"/>
  <c r="BH269" s="1"/>
  <c r="AL269"/>
  <c r="AK269"/>
  <c r="AJ269"/>
  <c r="AH269"/>
  <c r="AG269"/>
  <c r="AF269"/>
  <c r="AE269"/>
  <c r="AD269"/>
  <c r="AB269"/>
  <c r="Z269"/>
  <c r="I269"/>
  <c r="BJ267"/>
  <c r="BI267"/>
  <c r="AC267" s="1"/>
  <c r="BF267"/>
  <c r="BD267"/>
  <c r="AW267"/>
  <c r="AP267"/>
  <c r="AX267" s="1"/>
  <c r="AV267" s="1"/>
  <c r="AO267"/>
  <c r="BH267" s="1"/>
  <c r="AB267" s="1"/>
  <c r="AL267"/>
  <c r="AK267"/>
  <c r="AT264" s="1"/>
  <c r="AJ267"/>
  <c r="AS264" s="1"/>
  <c r="AH267"/>
  <c r="AG267"/>
  <c r="AF267"/>
  <c r="AE267"/>
  <c r="AD267"/>
  <c r="Z267"/>
  <c r="I267"/>
  <c r="BJ265"/>
  <c r="BH265"/>
  <c r="AB265" s="1"/>
  <c r="BF265"/>
  <c r="BD265"/>
  <c r="AX265"/>
  <c r="AP265"/>
  <c r="BI265" s="1"/>
  <c r="AC265" s="1"/>
  <c r="AO265"/>
  <c r="AW265" s="1"/>
  <c r="AK265"/>
  <c r="AJ265"/>
  <c r="AH265"/>
  <c r="AG265"/>
  <c r="AF265"/>
  <c r="AE265"/>
  <c r="AD265"/>
  <c r="Z265"/>
  <c r="I265"/>
  <c r="BJ262"/>
  <c r="BF262"/>
  <c r="BD262"/>
  <c r="AX262"/>
  <c r="AP262"/>
  <c r="BI262" s="1"/>
  <c r="AO262"/>
  <c r="AK262"/>
  <c r="AJ262"/>
  <c r="AH262"/>
  <c r="AG262"/>
  <c r="AF262"/>
  <c r="AE262"/>
  <c r="AD262"/>
  <c r="AC262"/>
  <c r="AB262"/>
  <c r="Z262"/>
  <c r="I262"/>
  <c r="AL262" s="1"/>
  <c r="AU261" s="1"/>
  <c r="AT261"/>
  <c r="AS261"/>
  <c r="I261"/>
  <c r="BJ259"/>
  <c r="BF259"/>
  <c r="BD259"/>
  <c r="AX259"/>
  <c r="AW259"/>
  <c r="AP259"/>
  <c r="BI259" s="1"/>
  <c r="AO259"/>
  <c r="BH259" s="1"/>
  <c r="AL259"/>
  <c r="AK259"/>
  <c r="AJ259"/>
  <c r="AH259"/>
  <c r="AG259"/>
  <c r="AF259"/>
  <c r="AE259"/>
  <c r="AD259"/>
  <c r="AC259"/>
  <c r="AB259"/>
  <c r="Z259"/>
  <c r="I259"/>
  <c r="BJ257"/>
  <c r="Z257" s="1"/>
  <c r="BF257"/>
  <c r="BD257"/>
  <c r="AX257"/>
  <c r="AW257"/>
  <c r="BC257" s="1"/>
  <c r="AV257"/>
  <c r="AP257"/>
  <c r="BI257" s="1"/>
  <c r="AO257"/>
  <c r="BH257" s="1"/>
  <c r="AL257"/>
  <c r="AK257"/>
  <c r="AJ257"/>
  <c r="AH257"/>
  <c r="AG257"/>
  <c r="AF257"/>
  <c r="AE257"/>
  <c r="AD257"/>
  <c r="AC257"/>
  <c r="AB257"/>
  <c r="I257"/>
  <c r="BJ255"/>
  <c r="BI255"/>
  <c r="BF255"/>
  <c r="BD255"/>
  <c r="BC255"/>
  <c r="AW255"/>
  <c r="AP255"/>
  <c r="AX255" s="1"/>
  <c r="AV255" s="1"/>
  <c r="AO255"/>
  <c r="BH255" s="1"/>
  <c r="AL255"/>
  <c r="AK255"/>
  <c r="AJ255"/>
  <c r="AH255"/>
  <c r="AG255"/>
  <c r="AF255"/>
  <c r="AE255"/>
  <c r="AD255"/>
  <c r="AC255"/>
  <c r="AB255"/>
  <c r="Z255"/>
  <c r="I255"/>
  <c r="BJ254"/>
  <c r="BF254"/>
  <c r="BD254"/>
  <c r="AX254"/>
  <c r="AP254"/>
  <c r="BI254" s="1"/>
  <c r="AO254"/>
  <c r="AW254" s="1"/>
  <c r="AK254"/>
  <c r="AJ254"/>
  <c r="AH254"/>
  <c r="AG254"/>
  <c r="AF254"/>
  <c r="AE254"/>
  <c r="AD254"/>
  <c r="AC254"/>
  <c r="AB254"/>
  <c r="Z254"/>
  <c r="I254"/>
  <c r="AL254" s="1"/>
  <c r="BJ253"/>
  <c r="BF253"/>
  <c r="BD253"/>
  <c r="AX253"/>
  <c r="AW253"/>
  <c r="AP253"/>
  <c r="BI253" s="1"/>
  <c r="AC253" s="1"/>
  <c r="AO253"/>
  <c r="BH253" s="1"/>
  <c r="AB253" s="1"/>
  <c r="AL253"/>
  <c r="AK253"/>
  <c r="AJ253"/>
  <c r="AH253"/>
  <c r="AG253"/>
  <c r="AF253"/>
  <c r="AE253"/>
  <c r="AD253"/>
  <c r="Z253"/>
  <c r="I253"/>
  <c r="BJ252"/>
  <c r="BF252"/>
  <c r="BD252"/>
  <c r="AX252"/>
  <c r="AW252"/>
  <c r="BC252" s="1"/>
  <c r="AV252"/>
  <c r="AP252"/>
  <c r="BI252" s="1"/>
  <c r="AC252" s="1"/>
  <c r="AO252"/>
  <c r="BH252" s="1"/>
  <c r="AB252" s="1"/>
  <c r="AL252"/>
  <c r="AU248" s="1"/>
  <c r="AK252"/>
  <c r="AT248" s="1"/>
  <c r="AJ252"/>
  <c r="AH252"/>
  <c r="AG252"/>
  <c r="AF252"/>
  <c r="AE252"/>
  <c r="AD252"/>
  <c r="Z252"/>
  <c r="I252"/>
  <c r="I248" s="1"/>
  <c r="BJ249"/>
  <c r="BI249"/>
  <c r="AC249" s="1"/>
  <c r="BF249"/>
  <c r="BD249"/>
  <c r="BC249"/>
  <c r="AW249"/>
  <c r="AP249"/>
  <c r="AX249" s="1"/>
  <c r="AV249" s="1"/>
  <c r="AO249"/>
  <c r="BH249" s="1"/>
  <c r="AB249" s="1"/>
  <c r="AL249"/>
  <c r="AK249"/>
  <c r="AJ249"/>
  <c r="AH249"/>
  <c r="AG249"/>
  <c r="AF249"/>
  <c r="AE249"/>
  <c r="AD249"/>
  <c r="Z249"/>
  <c r="I249"/>
  <c r="AS248"/>
  <c r="BJ246"/>
  <c r="BH246"/>
  <c r="AB246" s="1"/>
  <c r="BF246"/>
  <c r="BD246"/>
  <c r="AX246"/>
  <c r="AP246"/>
  <c r="BI246" s="1"/>
  <c r="AC246" s="1"/>
  <c r="AO246"/>
  <c r="AW246" s="1"/>
  <c r="AK246"/>
  <c r="AJ246"/>
  <c r="AH246"/>
  <c r="AG246"/>
  <c r="AF246"/>
  <c r="AE246"/>
  <c r="AD246"/>
  <c r="Z246"/>
  <c r="I246"/>
  <c r="AL246" s="1"/>
  <c r="BJ244"/>
  <c r="BF244"/>
  <c r="BD244"/>
  <c r="AX244"/>
  <c r="AW244"/>
  <c r="AP244"/>
  <c r="BI244" s="1"/>
  <c r="AC244" s="1"/>
  <c r="AO244"/>
  <c r="BH244" s="1"/>
  <c r="AB244" s="1"/>
  <c r="AL244"/>
  <c r="AK244"/>
  <c r="AJ244"/>
  <c r="AH244"/>
  <c r="AG244"/>
  <c r="AF244"/>
  <c r="AE244"/>
  <c r="AD244"/>
  <c r="Z244"/>
  <c r="I244"/>
  <c r="BJ242"/>
  <c r="BF242"/>
  <c r="BD242"/>
  <c r="AX242"/>
  <c r="AW242"/>
  <c r="BC242" s="1"/>
  <c r="AV242"/>
  <c r="AP242"/>
  <c r="BI242" s="1"/>
  <c r="AC242" s="1"/>
  <c r="AO242"/>
  <c r="BH242" s="1"/>
  <c r="AB242" s="1"/>
  <c r="AL242"/>
  <c r="AK242"/>
  <c r="AJ242"/>
  <c r="AH242"/>
  <c r="AG242"/>
  <c r="AF242"/>
  <c r="AE242"/>
  <c r="AD242"/>
  <c r="Z242"/>
  <c r="I242"/>
  <c r="BJ240"/>
  <c r="BI240"/>
  <c r="AC240" s="1"/>
  <c r="BF240"/>
  <c r="BD240"/>
  <c r="BC240"/>
  <c r="AW240"/>
  <c r="AP240"/>
  <c r="AX240" s="1"/>
  <c r="AV240" s="1"/>
  <c r="AO240"/>
  <c r="BH240" s="1"/>
  <c r="AB240" s="1"/>
  <c r="AL240"/>
  <c r="AK240"/>
  <c r="AJ240"/>
  <c r="AH240"/>
  <c r="AG240"/>
  <c r="AF240"/>
  <c r="AE240"/>
  <c r="AD240"/>
  <c r="Z240"/>
  <c r="I240"/>
  <c r="BJ239"/>
  <c r="BF239"/>
  <c r="BD239"/>
  <c r="AX239"/>
  <c r="AP239"/>
  <c r="BI239" s="1"/>
  <c r="AC239" s="1"/>
  <c r="AO239"/>
  <c r="AK239"/>
  <c r="AJ239"/>
  <c r="AH239"/>
  <c r="AG239"/>
  <c r="AF239"/>
  <c r="AE239"/>
  <c r="AD239"/>
  <c r="Z239"/>
  <c r="I239"/>
  <c r="AL239" s="1"/>
  <c r="BJ238"/>
  <c r="BF238"/>
  <c r="BD238"/>
  <c r="AX238"/>
  <c r="AW238"/>
  <c r="AP238"/>
  <c r="BI238" s="1"/>
  <c r="AO238"/>
  <c r="BH238" s="1"/>
  <c r="AB238" s="1"/>
  <c r="AL238"/>
  <c r="AK238"/>
  <c r="AJ238"/>
  <c r="AH238"/>
  <c r="AG238"/>
  <c r="AF238"/>
  <c r="AE238"/>
  <c r="AD238"/>
  <c r="AC238"/>
  <c r="Z238"/>
  <c r="I238"/>
  <c r="BJ235"/>
  <c r="BF235"/>
  <c r="BD235"/>
  <c r="AX235"/>
  <c r="AW235"/>
  <c r="BC235" s="1"/>
  <c r="AV235"/>
  <c r="AP235"/>
  <c r="BI235" s="1"/>
  <c r="AC235" s="1"/>
  <c r="AO235"/>
  <c r="BH235" s="1"/>
  <c r="AL235"/>
  <c r="AU231" s="1"/>
  <c r="AK235"/>
  <c r="AT231" s="1"/>
  <c r="AJ235"/>
  <c r="AH235"/>
  <c r="AG235"/>
  <c r="AF235"/>
  <c r="AE235"/>
  <c r="AD235"/>
  <c r="AB235"/>
  <c r="Z235"/>
  <c r="I235"/>
  <c r="BJ232"/>
  <c r="BI232"/>
  <c r="AC232" s="1"/>
  <c r="BF232"/>
  <c r="BD232"/>
  <c r="AW232"/>
  <c r="AP232"/>
  <c r="AX232" s="1"/>
  <c r="AV232" s="1"/>
  <c r="AO232"/>
  <c r="BH232" s="1"/>
  <c r="AB232" s="1"/>
  <c r="AL232"/>
  <c r="AK232"/>
  <c r="AJ232"/>
  <c r="AH232"/>
  <c r="AG232"/>
  <c r="AF232"/>
  <c r="AE232"/>
  <c r="AD232"/>
  <c r="Z232"/>
  <c r="I232"/>
  <c r="AS231"/>
  <c r="BJ230"/>
  <c r="BF230"/>
  <c r="BD230"/>
  <c r="AX230"/>
  <c r="AP230"/>
  <c r="BI230" s="1"/>
  <c r="AC230" s="1"/>
  <c r="AO230"/>
  <c r="AK230"/>
  <c r="AJ230"/>
  <c r="AH230"/>
  <c r="AG230"/>
  <c r="AF230"/>
  <c r="AE230"/>
  <c r="AD230"/>
  <c r="Z230"/>
  <c r="I230"/>
  <c r="AL230" s="1"/>
  <c r="BJ228"/>
  <c r="BF228"/>
  <c r="BD228"/>
  <c r="AX228"/>
  <c r="AW228"/>
  <c r="AP228"/>
  <c r="BI228" s="1"/>
  <c r="AO228"/>
  <c r="BH228" s="1"/>
  <c r="AB228" s="1"/>
  <c r="AL228"/>
  <c r="AK228"/>
  <c r="AJ228"/>
  <c r="AH228"/>
  <c r="AG228"/>
  <c r="AF228"/>
  <c r="AE228"/>
  <c r="AD228"/>
  <c r="AC228"/>
  <c r="Z228"/>
  <c r="I228"/>
  <c r="BJ226"/>
  <c r="BF226"/>
  <c r="BD226"/>
  <c r="AX226"/>
  <c r="AW226"/>
  <c r="BC226" s="1"/>
  <c r="AV226"/>
  <c r="AP226"/>
  <c r="BI226" s="1"/>
  <c r="AC226" s="1"/>
  <c r="AO226"/>
  <c r="BH226" s="1"/>
  <c r="AL226"/>
  <c r="AK226"/>
  <c r="AJ226"/>
  <c r="AH226"/>
  <c r="AG226"/>
  <c r="AF226"/>
  <c r="AE226"/>
  <c r="AD226"/>
  <c r="AB226"/>
  <c r="Z226"/>
  <c r="I226"/>
  <c r="BJ224"/>
  <c r="BI224"/>
  <c r="AC224" s="1"/>
  <c r="BF224"/>
  <c r="BD224"/>
  <c r="AW224"/>
  <c r="AP224"/>
  <c r="AX224" s="1"/>
  <c r="AV224" s="1"/>
  <c r="AO224"/>
  <c r="BH224" s="1"/>
  <c r="AB224" s="1"/>
  <c r="AL224"/>
  <c r="AK224"/>
  <c r="AJ224"/>
  <c r="AH224"/>
  <c r="AG224"/>
  <c r="AF224"/>
  <c r="AE224"/>
  <c r="AD224"/>
  <c r="Z224"/>
  <c r="I224"/>
  <c r="BJ220"/>
  <c r="BH220"/>
  <c r="AB220" s="1"/>
  <c r="BF220"/>
  <c r="BD220"/>
  <c r="AX220"/>
  <c r="AP220"/>
  <c r="BI220" s="1"/>
  <c r="AC220" s="1"/>
  <c r="AO220"/>
  <c r="AW220" s="1"/>
  <c r="AK220"/>
  <c r="AT217" s="1"/>
  <c r="AJ220"/>
  <c r="AS217" s="1"/>
  <c r="AH220"/>
  <c r="AG220"/>
  <c r="AF220"/>
  <c r="AE220"/>
  <c r="AD220"/>
  <c r="Z220"/>
  <c r="I220"/>
  <c r="BJ218"/>
  <c r="BF218"/>
  <c r="BD218"/>
  <c r="AX218"/>
  <c r="AW218"/>
  <c r="AP218"/>
  <c r="BI218" s="1"/>
  <c r="AO218"/>
  <c r="BH218" s="1"/>
  <c r="AB218" s="1"/>
  <c r="AL218"/>
  <c r="AK218"/>
  <c r="AJ218"/>
  <c r="AH218"/>
  <c r="AG218"/>
  <c r="AF218"/>
  <c r="AE218"/>
  <c r="AD218"/>
  <c r="AC218"/>
  <c r="Z218"/>
  <c r="I218"/>
  <c r="BJ215"/>
  <c r="BF215"/>
  <c r="BD215"/>
  <c r="AX215"/>
  <c r="AW215"/>
  <c r="BC215" s="1"/>
  <c r="AV215"/>
  <c r="AP215"/>
  <c r="BI215" s="1"/>
  <c r="AC215" s="1"/>
  <c r="AO215"/>
  <c r="BH215" s="1"/>
  <c r="AL215"/>
  <c r="AK215"/>
  <c r="AJ215"/>
  <c r="AH215"/>
  <c r="AG215"/>
  <c r="AF215"/>
  <c r="AE215"/>
  <c r="AD215"/>
  <c r="AB215"/>
  <c r="Z215"/>
  <c r="I215"/>
  <c r="AU214"/>
  <c r="AT214"/>
  <c r="AS214"/>
  <c r="I214"/>
  <c r="BJ212"/>
  <c r="Z212" s="1"/>
  <c r="BF212"/>
  <c r="BD212"/>
  <c r="AX212"/>
  <c r="AW212"/>
  <c r="BC212" s="1"/>
  <c r="AV212"/>
  <c r="AP212"/>
  <c r="BI212" s="1"/>
  <c r="AO212"/>
  <c r="BH212" s="1"/>
  <c r="AL212"/>
  <c r="AK212"/>
  <c r="AJ212"/>
  <c r="AH212"/>
  <c r="AG212"/>
  <c r="AF212"/>
  <c r="AE212"/>
  <c r="AD212"/>
  <c r="AC212"/>
  <c r="AB212"/>
  <c r="I212"/>
  <c r="BJ210"/>
  <c r="BF210"/>
  <c r="BD210"/>
  <c r="AW210"/>
  <c r="AP210"/>
  <c r="AO210"/>
  <c r="BH210" s="1"/>
  <c r="AD210" s="1"/>
  <c r="AL210"/>
  <c r="AK210"/>
  <c r="AJ210"/>
  <c r="AS206" s="1"/>
  <c r="AH210"/>
  <c r="AG210"/>
  <c r="AF210"/>
  <c r="AC210"/>
  <c r="AB210"/>
  <c r="Z210"/>
  <c r="I210"/>
  <c r="BJ207"/>
  <c r="BH207"/>
  <c r="BF207"/>
  <c r="BD207"/>
  <c r="AX207"/>
  <c r="AP207"/>
  <c r="BI207" s="1"/>
  <c r="AE207" s="1"/>
  <c r="AO207"/>
  <c r="AW207" s="1"/>
  <c r="AK207"/>
  <c r="AJ207"/>
  <c r="AH207"/>
  <c r="AG207"/>
  <c r="AF207"/>
  <c r="AD207"/>
  <c r="AC207"/>
  <c r="AB207"/>
  <c r="Z207"/>
  <c r="I207"/>
  <c r="AL207" s="1"/>
  <c r="AU206" s="1"/>
  <c r="BJ205"/>
  <c r="BF205"/>
  <c r="BD205"/>
  <c r="AX205"/>
  <c r="AW205"/>
  <c r="AP205"/>
  <c r="BI205" s="1"/>
  <c r="AO205"/>
  <c r="BH205" s="1"/>
  <c r="AL205"/>
  <c r="AK205"/>
  <c r="AJ205"/>
  <c r="AH205"/>
  <c r="AG205"/>
  <c r="AF205"/>
  <c r="AE205"/>
  <c r="AD205"/>
  <c r="AC205"/>
  <c r="AB205"/>
  <c r="Z205"/>
  <c r="I205"/>
  <c r="AU204"/>
  <c r="AT204"/>
  <c r="AS204"/>
  <c r="I204"/>
  <c r="BJ203"/>
  <c r="BF203"/>
  <c r="BD203"/>
  <c r="AX203"/>
  <c r="AW203"/>
  <c r="BC203" s="1"/>
  <c r="AV203"/>
  <c r="AP203"/>
  <c r="BI203" s="1"/>
  <c r="AC203" s="1"/>
  <c r="AO203"/>
  <c r="BH203" s="1"/>
  <c r="AB203" s="1"/>
  <c r="AL203"/>
  <c r="AK203"/>
  <c r="AJ203"/>
  <c r="AH203"/>
  <c r="AG203"/>
  <c r="AF203"/>
  <c r="AE203"/>
  <c r="AD203"/>
  <c r="Z203"/>
  <c r="I203"/>
  <c r="BJ200"/>
  <c r="BI200"/>
  <c r="AG200" s="1"/>
  <c r="BF200"/>
  <c r="BD200"/>
  <c r="BC200"/>
  <c r="AW200"/>
  <c r="AP200"/>
  <c r="AX200" s="1"/>
  <c r="AV200" s="1"/>
  <c r="AO200"/>
  <c r="BH200" s="1"/>
  <c r="AF200" s="1"/>
  <c r="AL200"/>
  <c r="AK200"/>
  <c r="AJ200"/>
  <c r="AH200"/>
  <c r="AE200"/>
  <c r="AD200"/>
  <c r="AC200"/>
  <c r="AB200"/>
  <c r="Z200"/>
  <c r="I200"/>
  <c r="BJ198"/>
  <c r="BH198"/>
  <c r="BF198"/>
  <c r="BD198"/>
  <c r="AX198"/>
  <c r="AP198"/>
  <c r="BI198" s="1"/>
  <c r="AO198"/>
  <c r="AW198" s="1"/>
  <c r="AK198"/>
  <c r="AJ198"/>
  <c r="AH198"/>
  <c r="AG198"/>
  <c r="AF198"/>
  <c r="AE198"/>
  <c r="AD198"/>
  <c r="AC198"/>
  <c r="AB198"/>
  <c r="Z198"/>
  <c r="I198"/>
  <c r="AL198" s="1"/>
  <c r="BJ196"/>
  <c r="BF196"/>
  <c r="BD196"/>
  <c r="AX196"/>
  <c r="AW196"/>
  <c r="AP196"/>
  <c r="BI196" s="1"/>
  <c r="AO196"/>
  <c r="BH196" s="1"/>
  <c r="AL196"/>
  <c r="AK196"/>
  <c r="AJ196"/>
  <c r="AH196"/>
  <c r="AG196"/>
  <c r="AF196"/>
  <c r="AE196"/>
  <c r="AD196"/>
  <c r="AC196"/>
  <c r="AB196"/>
  <c r="Z196"/>
  <c r="I196"/>
  <c r="BJ195"/>
  <c r="Z195" s="1"/>
  <c r="BF195"/>
  <c r="BD195"/>
  <c r="AX195"/>
  <c r="AW195"/>
  <c r="BC195" s="1"/>
  <c r="AV195"/>
  <c r="AP195"/>
  <c r="BI195" s="1"/>
  <c r="AO195"/>
  <c r="BH195" s="1"/>
  <c r="AL195"/>
  <c r="AK195"/>
  <c r="AJ195"/>
  <c r="AH195"/>
  <c r="AG195"/>
  <c r="AF195"/>
  <c r="AE195"/>
  <c r="AD195"/>
  <c r="AC195"/>
  <c r="AB195"/>
  <c r="I195"/>
  <c r="BJ193"/>
  <c r="BI193"/>
  <c r="BF193"/>
  <c r="BD193"/>
  <c r="AW193"/>
  <c r="AP193"/>
  <c r="AX193" s="1"/>
  <c r="AV193" s="1"/>
  <c r="AO193"/>
  <c r="BH193" s="1"/>
  <c r="AL193"/>
  <c r="AK193"/>
  <c r="AJ193"/>
  <c r="AH193"/>
  <c r="AG193"/>
  <c r="AF193"/>
  <c r="AE193"/>
  <c r="AD193"/>
  <c r="AC193"/>
  <c r="AB193"/>
  <c r="Z193"/>
  <c r="I193"/>
  <c r="BJ192"/>
  <c r="BH192"/>
  <c r="BF192"/>
  <c r="BD192"/>
  <c r="AX192"/>
  <c r="AP192"/>
  <c r="BI192" s="1"/>
  <c r="AO192"/>
  <c r="AW192" s="1"/>
  <c r="AK192"/>
  <c r="AJ192"/>
  <c r="AH192"/>
  <c r="AG192"/>
  <c r="AF192"/>
  <c r="AE192"/>
  <c r="AD192"/>
  <c r="AC192"/>
  <c r="AB192"/>
  <c r="Z192"/>
  <c r="I192"/>
  <c r="AL192" s="1"/>
  <c r="BJ190"/>
  <c r="BF190"/>
  <c r="BD190"/>
  <c r="AX190"/>
  <c r="AW190"/>
  <c r="AP190"/>
  <c r="BI190" s="1"/>
  <c r="AO190"/>
  <c r="BH190" s="1"/>
  <c r="AB190" s="1"/>
  <c r="AL190"/>
  <c r="AK190"/>
  <c r="AJ190"/>
  <c r="AH190"/>
  <c r="AG190"/>
  <c r="AF190"/>
  <c r="AE190"/>
  <c r="AD190"/>
  <c r="AC190"/>
  <c r="Z190"/>
  <c r="I190"/>
  <c r="BJ189"/>
  <c r="BF189"/>
  <c r="BD189"/>
  <c r="AX189"/>
  <c r="AW189"/>
  <c r="BC189" s="1"/>
  <c r="AV189"/>
  <c r="AP189"/>
  <c r="BI189" s="1"/>
  <c r="AC189" s="1"/>
  <c r="AO189"/>
  <c r="BH189" s="1"/>
  <c r="AB189" s="1"/>
  <c r="AL189"/>
  <c r="AK189"/>
  <c r="AJ189"/>
  <c r="AH189"/>
  <c r="AG189"/>
  <c r="AF189"/>
  <c r="AE189"/>
  <c r="AD189"/>
  <c r="Z189"/>
  <c r="I189"/>
  <c r="BJ188"/>
  <c r="BF188"/>
  <c r="BD188"/>
  <c r="AW188"/>
  <c r="AP188"/>
  <c r="AO188"/>
  <c r="BH188" s="1"/>
  <c r="AB188" s="1"/>
  <c r="AL188"/>
  <c r="AK188"/>
  <c r="AJ188"/>
  <c r="AH188"/>
  <c r="AG188"/>
  <c r="AF188"/>
  <c r="AE188"/>
  <c r="AD188"/>
  <c r="Z188"/>
  <c r="I188"/>
  <c r="BJ186"/>
  <c r="BH186"/>
  <c r="AB186" s="1"/>
  <c r="BF186"/>
  <c r="BD186"/>
  <c r="AX186"/>
  <c r="AP186"/>
  <c r="BI186" s="1"/>
  <c r="AC186" s="1"/>
  <c r="AO186"/>
  <c r="AW186" s="1"/>
  <c r="AK186"/>
  <c r="AJ186"/>
  <c r="AS184" s="1"/>
  <c r="AH186"/>
  <c r="AG186"/>
  <c r="AF186"/>
  <c r="AE186"/>
  <c r="AD186"/>
  <c r="Z186"/>
  <c r="I186"/>
  <c r="BJ185"/>
  <c r="BF185"/>
  <c r="BD185"/>
  <c r="AX185"/>
  <c r="AW185"/>
  <c r="AP185"/>
  <c r="BI185" s="1"/>
  <c r="AC185" s="1"/>
  <c r="AO185"/>
  <c r="BH185" s="1"/>
  <c r="AB185" s="1"/>
  <c r="AL185"/>
  <c r="AK185"/>
  <c r="AJ185"/>
  <c r="AH185"/>
  <c r="AG185"/>
  <c r="AF185"/>
  <c r="AE185"/>
  <c r="AD185"/>
  <c r="Z185"/>
  <c r="I185"/>
  <c r="BJ179"/>
  <c r="BF179"/>
  <c r="BD179"/>
  <c r="AX179"/>
  <c r="AW179"/>
  <c r="BC179" s="1"/>
  <c r="AV179"/>
  <c r="AP179"/>
  <c r="BI179" s="1"/>
  <c r="AC179" s="1"/>
  <c r="AO179"/>
  <c r="BH179" s="1"/>
  <c r="AL179"/>
  <c r="AK179"/>
  <c r="AJ179"/>
  <c r="AH179"/>
  <c r="AG179"/>
  <c r="AF179"/>
  <c r="AE179"/>
  <c r="AD179"/>
  <c r="AB179"/>
  <c r="Z179"/>
  <c r="I179"/>
  <c r="BJ176"/>
  <c r="BF176"/>
  <c r="BD176"/>
  <c r="AW176"/>
  <c r="AP176"/>
  <c r="AO176"/>
  <c r="BH176" s="1"/>
  <c r="AB176" s="1"/>
  <c r="AL176"/>
  <c r="AK176"/>
  <c r="AJ176"/>
  <c r="AH176"/>
  <c r="AG176"/>
  <c r="AF176"/>
  <c r="AE176"/>
  <c r="AD176"/>
  <c r="Z176"/>
  <c r="I176"/>
  <c r="BJ173"/>
  <c r="BH173"/>
  <c r="AB173" s="1"/>
  <c r="BF173"/>
  <c r="BD173"/>
  <c r="AX173"/>
  <c r="AP173"/>
  <c r="BI173" s="1"/>
  <c r="AC173" s="1"/>
  <c r="AO173"/>
  <c r="AW173" s="1"/>
  <c r="AK173"/>
  <c r="AJ173"/>
  <c r="AH173"/>
  <c r="AG173"/>
  <c r="AF173"/>
  <c r="AE173"/>
  <c r="AD173"/>
  <c r="Z173"/>
  <c r="I173"/>
  <c r="AL173" s="1"/>
  <c r="BJ170"/>
  <c r="BF170"/>
  <c r="BD170"/>
  <c r="AX170"/>
  <c r="AW170"/>
  <c r="AP170"/>
  <c r="BI170" s="1"/>
  <c r="AC170" s="1"/>
  <c r="AO170"/>
  <c r="BH170" s="1"/>
  <c r="AB170" s="1"/>
  <c r="AL170"/>
  <c r="AK170"/>
  <c r="AJ170"/>
  <c r="AH170"/>
  <c r="AG170"/>
  <c r="AF170"/>
  <c r="AE170"/>
  <c r="AD170"/>
  <c r="Z170"/>
  <c r="I170"/>
  <c r="BJ167"/>
  <c r="BF167"/>
  <c r="BD167"/>
  <c r="AX167"/>
  <c r="AW167"/>
  <c r="BC167" s="1"/>
  <c r="AV167"/>
  <c r="AP167"/>
  <c r="BI167" s="1"/>
  <c r="AC167" s="1"/>
  <c r="AO167"/>
  <c r="BH167" s="1"/>
  <c r="AB167" s="1"/>
  <c r="AL167"/>
  <c r="AK167"/>
  <c r="AJ167"/>
  <c r="AH167"/>
  <c r="AG167"/>
  <c r="AF167"/>
  <c r="AE167"/>
  <c r="AD167"/>
  <c r="Z167"/>
  <c r="I167"/>
  <c r="BJ166"/>
  <c r="BF166"/>
  <c r="BD166"/>
  <c r="BC166"/>
  <c r="AW166"/>
  <c r="AP166"/>
  <c r="AX166" s="1"/>
  <c r="AV166" s="1"/>
  <c r="AO166"/>
  <c r="BH166" s="1"/>
  <c r="AB166" s="1"/>
  <c r="AL166"/>
  <c r="AK166"/>
  <c r="AJ166"/>
  <c r="AH166"/>
  <c r="AG166"/>
  <c r="AF166"/>
  <c r="AE166"/>
  <c r="AD166"/>
  <c r="Z166"/>
  <c r="I166"/>
  <c r="BJ165"/>
  <c r="BH165"/>
  <c r="AB165" s="1"/>
  <c r="BF165"/>
  <c r="BD165"/>
  <c r="AX165"/>
  <c r="AP165"/>
  <c r="BI165" s="1"/>
  <c r="AC165" s="1"/>
  <c r="AO165"/>
  <c r="AW165" s="1"/>
  <c r="AK165"/>
  <c r="AJ165"/>
  <c r="AH165"/>
  <c r="AG165"/>
  <c r="AF165"/>
  <c r="AE165"/>
  <c r="AD165"/>
  <c r="Z165"/>
  <c r="I165"/>
  <c r="AL165" s="1"/>
  <c r="BJ163"/>
  <c r="BF163"/>
  <c r="BD163"/>
  <c r="AX163"/>
  <c r="AW163"/>
  <c r="AP163"/>
  <c r="BI163" s="1"/>
  <c r="AC163" s="1"/>
  <c r="AO163"/>
  <c r="BH163" s="1"/>
  <c r="AB163" s="1"/>
  <c r="AL163"/>
  <c r="AK163"/>
  <c r="AJ163"/>
  <c r="AH163"/>
  <c r="AG163"/>
  <c r="AF163"/>
  <c r="AE163"/>
  <c r="AD163"/>
  <c r="Z163"/>
  <c r="I163"/>
  <c r="BJ161"/>
  <c r="BF161"/>
  <c r="BD161"/>
  <c r="AX161"/>
  <c r="AW161"/>
  <c r="BC161" s="1"/>
  <c r="AV161"/>
  <c r="AP161"/>
  <c r="BI161" s="1"/>
  <c r="AC161" s="1"/>
  <c r="AO161"/>
  <c r="BH161" s="1"/>
  <c r="AB161" s="1"/>
  <c r="AL161"/>
  <c r="AK161"/>
  <c r="AJ161"/>
  <c r="AH161"/>
  <c r="AG161"/>
  <c r="AF161"/>
  <c r="AE161"/>
  <c r="AD161"/>
  <c r="Z161"/>
  <c r="I161"/>
  <c r="BJ160"/>
  <c r="BI160"/>
  <c r="AC160" s="1"/>
  <c r="BF160"/>
  <c r="BD160"/>
  <c r="BC160"/>
  <c r="AW160"/>
  <c r="AP160"/>
  <c r="AX160" s="1"/>
  <c r="AV160" s="1"/>
  <c r="AO160"/>
  <c r="BH160" s="1"/>
  <c r="AB160" s="1"/>
  <c r="AL160"/>
  <c r="AK160"/>
  <c r="AJ160"/>
  <c r="AH160"/>
  <c r="AG160"/>
  <c r="AF160"/>
  <c r="AE160"/>
  <c r="AD160"/>
  <c r="Z160"/>
  <c r="I160"/>
  <c r="BJ159"/>
  <c r="BF159"/>
  <c r="BD159"/>
  <c r="AX159"/>
  <c r="AP159"/>
  <c r="BI159" s="1"/>
  <c r="AC159" s="1"/>
  <c r="AO159"/>
  <c r="AK159"/>
  <c r="AJ159"/>
  <c r="AH159"/>
  <c r="AG159"/>
  <c r="AF159"/>
  <c r="AE159"/>
  <c r="AD159"/>
  <c r="Z159"/>
  <c r="I159"/>
  <c r="AL159" s="1"/>
  <c r="BJ157"/>
  <c r="BF157"/>
  <c r="BD157"/>
  <c r="AX157"/>
  <c r="AW157"/>
  <c r="AP157"/>
  <c r="BI157" s="1"/>
  <c r="AO157"/>
  <c r="BH157" s="1"/>
  <c r="AB157" s="1"/>
  <c r="AL157"/>
  <c r="AK157"/>
  <c r="AJ157"/>
  <c r="AH157"/>
  <c r="AG157"/>
  <c r="AF157"/>
  <c r="AE157"/>
  <c r="AD157"/>
  <c r="AC157"/>
  <c r="Z157"/>
  <c r="I157"/>
  <c r="BJ155"/>
  <c r="BF155"/>
  <c r="BD155"/>
  <c r="AX155"/>
  <c r="AW155"/>
  <c r="BC155" s="1"/>
  <c r="AV155"/>
  <c r="AP155"/>
  <c r="BI155" s="1"/>
  <c r="AO155"/>
  <c r="BH155" s="1"/>
  <c r="AL155"/>
  <c r="AK155"/>
  <c r="AJ155"/>
  <c r="AH155"/>
  <c r="AG155"/>
  <c r="AF155"/>
  <c r="AE155"/>
  <c r="AD155"/>
  <c r="AC155"/>
  <c r="AB155"/>
  <c r="Z155"/>
  <c r="I155"/>
  <c r="BJ153"/>
  <c r="BI153"/>
  <c r="AC153" s="1"/>
  <c r="BF153"/>
  <c r="BD153"/>
  <c r="BC153"/>
  <c r="AW153"/>
  <c r="AP153"/>
  <c r="AX153" s="1"/>
  <c r="AV153" s="1"/>
  <c r="AO153"/>
  <c r="BH153" s="1"/>
  <c r="AB153" s="1"/>
  <c r="AL153"/>
  <c r="AK153"/>
  <c r="AJ153"/>
  <c r="AH153"/>
  <c r="AG153"/>
  <c r="AF153"/>
  <c r="AE153"/>
  <c r="AD153"/>
  <c r="Z153"/>
  <c r="I153"/>
  <c r="BJ151"/>
  <c r="BF151"/>
  <c r="BD151"/>
  <c r="AP151"/>
  <c r="AO151"/>
  <c r="AW151" s="1"/>
  <c r="AK151"/>
  <c r="AJ151"/>
  <c r="AH151"/>
  <c r="AG151"/>
  <c r="AF151"/>
  <c r="AE151"/>
  <c r="AD151"/>
  <c r="Z151"/>
  <c r="I151"/>
  <c r="AL151" s="1"/>
  <c r="BJ148"/>
  <c r="BF148"/>
  <c r="BD148"/>
  <c r="AP148"/>
  <c r="AO148"/>
  <c r="AW148" s="1"/>
  <c r="AK148"/>
  <c r="AJ148"/>
  <c r="AS147" s="1"/>
  <c r="AH148"/>
  <c r="AG148"/>
  <c r="AF148"/>
  <c r="AE148"/>
  <c r="AD148"/>
  <c r="Z148"/>
  <c r="I148"/>
  <c r="BJ145"/>
  <c r="BF145"/>
  <c r="BD145"/>
  <c r="AX145"/>
  <c r="AP145"/>
  <c r="BI145" s="1"/>
  <c r="AO145"/>
  <c r="AK145"/>
  <c r="AJ145"/>
  <c r="AH145"/>
  <c r="AG145"/>
  <c r="AF145"/>
  <c r="AE145"/>
  <c r="AD145"/>
  <c r="AC145"/>
  <c r="Z145"/>
  <c r="I145"/>
  <c r="AL145" s="1"/>
  <c r="BJ144"/>
  <c r="BF144"/>
  <c r="BD144"/>
  <c r="AW144"/>
  <c r="AP144"/>
  <c r="AO144"/>
  <c r="BH144" s="1"/>
  <c r="AB144" s="1"/>
  <c r="AL144"/>
  <c r="AK144"/>
  <c r="AJ144"/>
  <c r="AH144"/>
  <c r="AG144"/>
  <c r="AF144"/>
  <c r="AE144"/>
  <c r="AD144"/>
  <c r="Z144"/>
  <c r="I144"/>
  <c r="BJ142"/>
  <c r="BH142"/>
  <c r="AB142" s="1"/>
  <c r="BF142"/>
  <c r="BD142"/>
  <c r="AX142"/>
  <c r="AV142" s="1"/>
  <c r="AP142"/>
  <c r="BI142" s="1"/>
  <c r="AC142" s="1"/>
  <c r="AO142"/>
  <c r="AW142" s="1"/>
  <c r="AK142"/>
  <c r="AT135" s="1"/>
  <c r="AJ142"/>
  <c r="AH142"/>
  <c r="AG142"/>
  <c r="AF142"/>
  <c r="AE142"/>
  <c r="AD142"/>
  <c r="Z142"/>
  <c r="I142"/>
  <c r="AL142" s="1"/>
  <c r="BJ141"/>
  <c r="BH141"/>
  <c r="AB141" s="1"/>
  <c r="BF141"/>
  <c r="BD141"/>
  <c r="AX141"/>
  <c r="AW141"/>
  <c r="AP141"/>
  <c r="BI141" s="1"/>
  <c r="AO141"/>
  <c r="AL141"/>
  <c r="AK141"/>
  <c r="AJ141"/>
  <c r="AH141"/>
  <c r="AG141"/>
  <c r="AF141"/>
  <c r="AE141"/>
  <c r="AD141"/>
  <c r="AC141"/>
  <c r="Z141"/>
  <c r="I141"/>
  <c r="BJ139"/>
  <c r="BH139"/>
  <c r="AB139" s="1"/>
  <c r="BF139"/>
  <c r="BD139"/>
  <c r="AX139"/>
  <c r="AW139"/>
  <c r="AP139"/>
  <c r="BI139" s="1"/>
  <c r="AO139"/>
  <c r="AL139"/>
  <c r="AK139"/>
  <c r="AJ139"/>
  <c r="AH139"/>
  <c r="AG139"/>
  <c r="AF139"/>
  <c r="AE139"/>
  <c r="AD139"/>
  <c r="AC139"/>
  <c r="Z139"/>
  <c r="I139"/>
  <c r="BJ138"/>
  <c r="BI138"/>
  <c r="BF138"/>
  <c r="BD138"/>
  <c r="BC138"/>
  <c r="AW138"/>
  <c r="AV138" s="1"/>
  <c r="AP138"/>
  <c r="AX138" s="1"/>
  <c r="AO138"/>
  <c r="BH138" s="1"/>
  <c r="AB138" s="1"/>
  <c r="AL138"/>
  <c r="AK138"/>
  <c r="AJ138"/>
  <c r="AH138"/>
  <c r="AG138"/>
  <c r="AF138"/>
  <c r="AE138"/>
  <c r="AD138"/>
  <c r="AC138"/>
  <c r="Z138"/>
  <c r="I138"/>
  <c r="BJ136"/>
  <c r="BH136"/>
  <c r="AB136" s="1"/>
  <c r="BF136"/>
  <c r="BD136"/>
  <c r="AV136"/>
  <c r="AP136"/>
  <c r="AX136" s="1"/>
  <c r="AO136"/>
  <c r="AW136" s="1"/>
  <c r="BC136" s="1"/>
  <c r="AK136"/>
  <c r="AJ136"/>
  <c r="AH136"/>
  <c r="AG136"/>
  <c r="AF136"/>
  <c r="AE136"/>
  <c r="AD136"/>
  <c r="Z136"/>
  <c r="I136"/>
  <c r="BJ133"/>
  <c r="BF133"/>
  <c r="BD133"/>
  <c r="AP133"/>
  <c r="AO133"/>
  <c r="AW133" s="1"/>
  <c r="AK133"/>
  <c r="AJ133"/>
  <c r="AH133"/>
  <c r="AG133"/>
  <c r="AF133"/>
  <c r="AE133"/>
  <c r="AD133"/>
  <c r="Z133"/>
  <c r="I133"/>
  <c r="AL133" s="1"/>
  <c r="BJ131"/>
  <c r="BF131"/>
  <c r="BD131"/>
  <c r="AX131"/>
  <c r="AP131"/>
  <c r="BI131" s="1"/>
  <c r="AC131" s="1"/>
  <c r="AO131"/>
  <c r="BH131" s="1"/>
  <c r="AB131" s="1"/>
  <c r="AK131"/>
  <c r="AJ131"/>
  <c r="AH131"/>
  <c r="AG131"/>
  <c r="AF131"/>
  <c r="AE131"/>
  <c r="AD131"/>
  <c r="Z131"/>
  <c r="I131"/>
  <c r="AL131" s="1"/>
  <c r="BJ129"/>
  <c r="BF129"/>
  <c r="BD129"/>
  <c r="AW129"/>
  <c r="BC129" s="1"/>
  <c r="AV129"/>
  <c r="AP129"/>
  <c r="AX129" s="1"/>
  <c r="AO129"/>
  <c r="BH129" s="1"/>
  <c r="AL129"/>
  <c r="AK129"/>
  <c r="AJ129"/>
  <c r="AH129"/>
  <c r="AG129"/>
  <c r="AF129"/>
  <c r="AE129"/>
  <c r="AD129"/>
  <c r="AB129"/>
  <c r="Z129"/>
  <c r="I129"/>
  <c r="BJ127"/>
  <c r="BI127"/>
  <c r="AC127" s="1"/>
  <c r="BF127"/>
  <c r="BD127"/>
  <c r="AX127"/>
  <c r="AP127"/>
  <c r="AO127"/>
  <c r="AK127"/>
  <c r="AJ127"/>
  <c r="AH127"/>
  <c r="AG127"/>
  <c r="AF127"/>
  <c r="AE127"/>
  <c r="AD127"/>
  <c r="Z127"/>
  <c r="I127"/>
  <c r="AL127" s="1"/>
  <c r="BJ125"/>
  <c r="BI125"/>
  <c r="AC125" s="1"/>
  <c r="BF125"/>
  <c r="BD125"/>
  <c r="AX125"/>
  <c r="AP125"/>
  <c r="AO125"/>
  <c r="AL125"/>
  <c r="AK125"/>
  <c r="AJ125"/>
  <c r="AH125"/>
  <c r="AG125"/>
  <c r="AF125"/>
  <c r="AE125"/>
  <c r="AD125"/>
  <c r="Z125"/>
  <c r="I125"/>
  <c r="BJ122"/>
  <c r="BF122"/>
  <c r="BD122"/>
  <c r="AX122"/>
  <c r="AP122"/>
  <c r="BI122" s="1"/>
  <c r="AO122"/>
  <c r="AK122"/>
  <c r="AJ122"/>
  <c r="AH122"/>
  <c r="AG122"/>
  <c r="AF122"/>
  <c r="AE122"/>
  <c r="AD122"/>
  <c r="AC122"/>
  <c r="Z122"/>
  <c r="I122"/>
  <c r="AL122" s="1"/>
  <c r="BJ120"/>
  <c r="BF120"/>
  <c r="BD120"/>
  <c r="AW120"/>
  <c r="AP120"/>
  <c r="AO120"/>
  <c r="BH120" s="1"/>
  <c r="AB120" s="1"/>
  <c r="AL120"/>
  <c r="AK120"/>
  <c r="AJ120"/>
  <c r="AH120"/>
  <c r="AG120"/>
  <c r="AF120"/>
  <c r="AE120"/>
  <c r="AD120"/>
  <c r="Z120"/>
  <c r="I120"/>
  <c r="BJ119"/>
  <c r="BI119"/>
  <c r="AC119" s="1"/>
  <c r="BH119"/>
  <c r="AB119" s="1"/>
  <c r="BF119"/>
  <c r="BD119"/>
  <c r="AX119"/>
  <c r="AV119" s="1"/>
  <c r="AP119"/>
  <c r="AO119"/>
  <c r="AW119" s="1"/>
  <c r="BC119" s="1"/>
  <c r="AK119"/>
  <c r="AJ119"/>
  <c r="AH119"/>
  <c r="AG119"/>
  <c r="AF119"/>
  <c r="AE119"/>
  <c r="AD119"/>
  <c r="Z119"/>
  <c r="I119"/>
  <c r="AL119" s="1"/>
  <c r="BJ117"/>
  <c r="BI117"/>
  <c r="BH117"/>
  <c r="AB117" s="1"/>
  <c r="BF117"/>
  <c r="BD117"/>
  <c r="AX117"/>
  <c r="AW117"/>
  <c r="AP117"/>
  <c r="AO117"/>
  <c r="AL117"/>
  <c r="AK117"/>
  <c r="AJ117"/>
  <c r="AH117"/>
  <c r="AG117"/>
  <c r="AF117"/>
  <c r="AE117"/>
  <c r="AD117"/>
  <c r="AC117"/>
  <c r="Z117"/>
  <c r="I117"/>
  <c r="BJ116"/>
  <c r="BH116"/>
  <c r="AB116" s="1"/>
  <c r="BF116"/>
  <c r="BD116"/>
  <c r="AX116"/>
  <c r="AW116"/>
  <c r="AP116"/>
  <c r="BI116" s="1"/>
  <c r="AO116"/>
  <c r="AL116"/>
  <c r="AK116"/>
  <c r="AJ116"/>
  <c r="AH116"/>
  <c r="AG116"/>
  <c r="AF116"/>
  <c r="AE116"/>
  <c r="AD116"/>
  <c r="AC116"/>
  <c r="Z116"/>
  <c r="I116"/>
  <c r="BJ114"/>
  <c r="BF114"/>
  <c r="BD114"/>
  <c r="AW114"/>
  <c r="AV114"/>
  <c r="AP114"/>
  <c r="AX114" s="1"/>
  <c r="BC114" s="1"/>
  <c r="AO114"/>
  <c r="BH114" s="1"/>
  <c r="AL114"/>
  <c r="AK114"/>
  <c r="AT106" s="1"/>
  <c r="AJ114"/>
  <c r="AH114"/>
  <c r="AG114"/>
  <c r="AF114"/>
  <c r="AE114"/>
  <c r="AD114"/>
  <c r="AB114"/>
  <c r="Z114"/>
  <c r="I114"/>
  <c r="BJ113"/>
  <c r="BF113"/>
  <c r="BD113"/>
  <c r="AP113"/>
  <c r="AX113" s="1"/>
  <c r="AO113"/>
  <c r="AW113" s="1"/>
  <c r="AK113"/>
  <c r="AJ113"/>
  <c r="AH113"/>
  <c r="AG113"/>
  <c r="AF113"/>
  <c r="AE113"/>
  <c r="AD113"/>
  <c r="Z113"/>
  <c r="I113"/>
  <c r="AL113" s="1"/>
  <c r="BJ109"/>
  <c r="BH109"/>
  <c r="AB109" s="1"/>
  <c r="BF109"/>
  <c r="BD109"/>
  <c r="AX109"/>
  <c r="AP109"/>
  <c r="BI109" s="1"/>
  <c r="AC109" s="1"/>
  <c r="AO109"/>
  <c r="AW109" s="1"/>
  <c r="AK109"/>
  <c r="AJ109"/>
  <c r="AH109"/>
  <c r="AG109"/>
  <c r="AF109"/>
  <c r="AE109"/>
  <c r="AD109"/>
  <c r="Z109"/>
  <c r="I109"/>
  <c r="BJ107"/>
  <c r="BF107"/>
  <c r="BD107"/>
  <c r="AX107"/>
  <c r="AW107"/>
  <c r="AP107"/>
  <c r="BI107" s="1"/>
  <c r="AC107" s="1"/>
  <c r="AO107"/>
  <c r="BH107" s="1"/>
  <c r="AB107" s="1"/>
  <c r="AL107"/>
  <c r="AK107"/>
  <c r="AJ107"/>
  <c r="AH107"/>
  <c r="AG107"/>
  <c r="AF107"/>
  <c r="AE107"/>
  <c r="AD107"/>
  <c r="Z107"/>
  <c r="I107"/>
  <c r="BJ105"/>
  <c r="BF105"/>
  <c r="BD105"/>
  <c r="AW105"/>
  <c r="AV105"/>
  <c r="AP105"/>
  <c r="AX105" s="1"/>
  <c r="BC105" s="1"/>
  <c r="AO105"/>
  <c r="BH105" s="1"/>
  <c r="AB105" s="1"/>
  <c r="AL105"/>
  <c r="AK105"/>
  <c r="AJ105"/>
  <c r="AH105"/>
  <c r="AG105"/>
  <c r="AF105"/>
  <c r="AE105"/>
  <c r="AD105"/>
  <c r="Z105"/>
  <c r="I105"/>
  <c r="BJ102"/>
  <c r="BF102"/>
  <c r="BD102"/>
  <c r="BC102"/>
  <c r="AP102"/>
  <c r="AX102" s="1"/>
  <c r="AO102"/>
  <c r="AW102" s="1"/>
  <c r="AK102"/>
  <c r="AJ102"/>
  <c r="AH102"/>
  <c r="AG102"/>
  <c r="AF102"/>
  <c r="AE102"/>
  <c r="AD102"/>
  <c r="Z102"/>
  <c r="I102"/>
  <c r="AL102" s="1"/>
  <c r="BJ98"/>
  <c r="BH98"/>
  <c r="AB98" s="1"/>
  <c r="BF98"/>
  <c r="BD98"/>
  <c r="AX98"/>
  <c r="AP98"/>
  <c r="BI98" s="1"/>
  <c r="AC98" s="1"/>
  <c r="AO98"/>
  <c r="AW98" s="1"/>
  <c r="AK98"/>
  <c r="AJ98"/>
  <c r="AH98"/>
  <c r="AG98"/>
  <c r="AF98"/>
  <c r="AE98"/>
  <c r="AD98"/>
  <c r="Z98"/>
  <c r="I98"/>
  <c r="AL98" s="1"/>
  <c r="BJ96"/>
  <c r="BF96"/>
  <c r="BD96"/>
  <c r="AX96"/>
  <c r="AW96"/>
  <c r="AP96"/>
  <c r="BI96" s="1"/>
  <c r="AC96" s="1"/>
  <c r="AO96"/>
  <c r="BH96" s="1"/>
  <c r="AB96" s="1"/>
  <c r="AL96"/>
  <c r="AK96"/>
  <c r="AJ96"/>
  <c r="AH96"/>
  <c r="AG96"/>
  <c r="AF96"/>
  <c r="AE96"/>
  <c r="AD96"/>
  <c r="Z96"/>
  <c r="I96"/>
  <c r="BJ94"/>
  <c r="BF94"/>
  <c r="BD94"/>
  <c r="AW94"/>
  <c r="AV94"/>
  <c r="AP94"/>
  <c r="AX94" s="1"/>
  <c r="BC94" s="1"/>
  <c r="AO94"/>
  <c r="BH94" s="1"/>
  <c r="AB94" s="1"/>
  <c r="AL94"/>
  <c r="AK94"/>
  <c r="AJ94"/>
  <c r="AH94"/>
  <c r="AG94"/>
  <c r="AF94"/>
  <c r="AE94"/>
  <c r="AD94"/>
  <c r="Z94"/>
  <c r="I94"/>
  <c r="BJ93"/>
  <c r="BF93"/>
  <c r="BD93"/>
  <c r="BC93"/>
  <c r="AP93"/>
  <c r="AX93" s="1"/>
  <c r="AO93"/>
  <c r="AW93" s="1"/>
  <c r="AK93"/>
  <c r="AJ93"/>
  <c r="AS89" s="1"/>
  <c r="AH93"/>
  <c r="AG93"/>
  <c r="AF93"/>
  <c r="AE93"/>
  <c r="AD93"/>
  <c r="Z93"/>
  <c r="I93"/>
  <c r="AL93" s="1"/>
  <c r="BJ92"/>
  <c r="BH92"/>
  <c r="AB92" s="1"/>
  <c r="BF92"/>
  <c r="BD92"/>
  <c r="AX92"/>
  <c r="AP92"/>
  <c r="BI92" s="1"/>
  <c r="AC92" s="1"/>
  <c r="AO92"/>
  <c r="AW92" s="1"/>
  <c r="AK92"/>
  <c r="AJ92"/>
  <c r="AH92"/>
  <c r="AG92"/>
  <c r="AF92"/>
  <c r="AE92"/>
  <c r="AD92"/>
  <c r="Z92"/>
  <c r="I92"/>
  <c r="BJ91"/>
  <c r="BF91"/>
  <c r="BD91"/>
  <c r="AX91"/>
  <c r="AW91"/>
  <c r="AP91"/>
  <c r="BI91" s="1"/>
  <c r="AC91" s="1"/>
  <c r="AO91"/>
  <c r="BH91" s="1"/>
  <c r="AB91" s="1"/>
  <c r="AL91"/>
  <c r="AK91"/>
  <c r="AJ91"/>
  <c r="AH91"/>
  <c r="AG91"/>
  <c r="AF91"/>
  <c r="AE91"/>
  <c r="AD91"/>
  <c r="Z91"/>
  <c r="I91"/>
  <c r="BJ90"/>
  <c r="BF90"/>
  <c r="BD90"/>
  <c r="AW90"/>
  <c r="AP90"/>
  <c r="BI90" s="1"/>
  <c r="AC90" s="1"/>
  <c r="AO90"/>
  <c r="BH90" s="1"/>
  <c r="AB90" s="1"/>
  <c r="AL90"/>
  <c r="AK90"/>
  <c r="AJ90"/>
  <c r="AH90"/>
  <c r="AG90"/>
  <c r="AF90"/>
  <c r="AE90"/>
  <c r="AD90"/>
  <c r="Z90"/>
  <c r="I90"/>
  <c r="AT89"/>
  <c r="BJ88"/>
  <c r="BF88"/>
  <c r="BD88"/>
  <c r="BC88"/>
  <c r="AP88"/>
  <c r="AX88" s="1"/>
  <c r="AO88"/>
  <c r="AW88" s="1"/>
  <c r="AK88"/>
  <c r="AJ88"/>
  <c r="AS79" s="1"/>
  <c r="AH88"/>
  <c r="AG88"/>
  <c r="AF88"/>
  <c r="AE88"/>
  <c r="AD88"/>
  <c r="Z88"/>
  <c r="I88"/>
  <c r="AL88" s="1"/>
  <c r="BJ84"/>
  <c r="BF84"/>
  <c r="BD84"/>
  <c r="AX84"/>
  <c r="AP84"/>
  <c r="BI84" s="1"/>
  <c r="AC84" s="1"/>
  <c r="AO84"/>
  <c r="AW84" s="1"/>
  <c r="AK84"/>
  <c r="AJ84"/>
  <c r="AH84"/>
  <c r="AG84"/>
  <c r="AF84"/>
  <c r="AE84"/>
  <c r="AD84"/>
  <c r="Z84"/>
  <c r="I84"/>
  <c r="BJ80"/>
  <c r="BF80"/>
  <c r="BD80"/>
  <c r="AX80"/>
  <c r="AW80"/>
  <c r="AP80"/>
  <c r="BI80" s="1"/>
  <c r="AO80"/>
  <c r="BH80" s="1"/>
  <c r="AB80" s="1"/>
  <c r="AL80"/>
  <c r="AK80"/>
  <c r="AJ80"/>
  <c r="AH80"/>
  <c r="AG80"/>
  <c r="AF80"/>
  <c r="AE80"/>
  <c r="AD80"/>
  <c r="AC80"/>
  <c r="Z80"/>
  <c r="I80"/>
  <c r="AT79"/>
  <c r="BJ77"/>
  <c r="BF77"/>
  <c r="BD77"/>
  <c r="AW77"/>
  <c r="AP77"/>
  <c r="BI77" s="1"/>
  <c r="AC77" s="1"/>
  <c r="AO77"/>
  <c r="BH77" s="1"/>
  <c r="AL77"/>
  <c r="AK77"/>
  <c r="AT74" s="1"/>
  <c r="AJ77"/>
  <c r="AH77"/>
  <c r="AG77"/>
  <c r="AF77"/>
  <c r="AE77"/>
  <c r="AD77"/>
  <c r="AB77"/>
  <c r="Z77"/>
  <c r="I77"/>
  <c r="BJ75"/>
  <c r="BI75"/>
  <c r="AC75" s="1"/>
  <c r="BF75"/>
  <c r="BD75"/>
  <c r="AP75"/>
  <c r="AX75" s="1"/>
  <c r="AO75"/>
  <c r="AW75" s="1"/>
  <c r="AK75"/>
  <c r="AJ75"/>
  <c r="AH75"/>
  <c r="AG75"/>
  <c r="AF75"/>
  <c r="AE75"/>
  <c r="AD75"/>
  <c r="Z75"/>
  <c r="I75"/>
  <c r="AL75" s="1"/>
  <c r="AU74" s="1"/>
  <c r="AS74"/>
  <c r="I74"/>
  <c r="BJ73"/>
  <c r="BF73"/>
  <c r="BD73"/>
  <c r="AX73"/>
  <c r="AP73"/>
  <c r="BI73" s="1"/>
  <c r="AC73" s="1"/>
  <c r="AO73"/>
  <c r="AW73" s="1"/>
  <c r="AK73"/>
  <c r="AJ73"/>
  <c r="AH73"/>
  <c r="AG73"/>
  <c r="AF73"/>
  <c r="AE73"/>
  <c r="AD73"/>
  <c r="Z73"/>
  <c r="I73"/>
  <c r="AL73" s="1"/>
  <c r="BJ72"/>
  <c r="BF72"/>
  <c r="BD72"/>
  <c r="AX72"/>
  <c r="AW72"/>
  <c r="AP72"/>
  <c r="BI72" s="1"/>
  <c r="AO72"/>
  <c r="BH72" s="1"/>
  <c r="AB72" s="1"/>
  <c r="AL72"/>
  <c r="AK72"/>
  <c r="AJ72"/>
  <c r="AH72"/>
  <c r="AG72"/>
  <c r="AF72"/>
  <c r="AE72"/>
  <c r="AD72"/>
  <c r="AC72"/>
  <c r="Z72"/>
  <c r="I72"/>
  <c r="BJ71"/>
  <c r="BF71"/>
  <c r="BD71"/>
  <c r="AP71"/>
  <c r="BI71" s="1"/>
  <c r="AC71" s="1"/>
  <c r="AO71"/>
  <c r="AW71" s="1"/>
  <c r="AK71"/>
  <c r="AJ71"/>
  <c r="AH71"/>
  <c r="AG71"/>
  <c r="AF71"/>
  <c r="AE71"/>
  <c r="AD71"/>
  <c r="Z71"/>
  <c r="I71"/>
  <c r="AL71" s="1"/>
  <c r="BJ70"/>
  <c r="BF70"/>
  <c r="BD70"/>
  <c r="AP70"/>
  <c r="AX70" s="1"/>
  <c r="AO70"/>
  <c r="AW70" s="1"/>
  <c r="AK70"/>
  <c r="AJ70"/>
  <c r="AS66" s="1"/>
  <c r="AH70"/>
  <c r="AG70"/>
  <c r="AF70"/>
  <c r="AE70"/>
  <c r="AD70"/>
  <c r="Z70"/>
  <c r="I70"/>
  <c r="AL70" s="1"/>
  <c r="BJ69"/>
  <c r="BH69"/>
  <c r="AB69" s="1"/>
  <c r="BF69"/>
  <c r="BD69"/>
  <c r="AX69"/>
  <c r="AP69"/>
  <c r="BI69" s="1"/>
  <c r="AC69" s="1"/>
  <c r="AO69"/>
  <c r="AW69" s="1"/>
  <c r="AK69"/>
  <c r="AJ69"/>
  <c r="AH69"/>
  <c r="AG69"/>
  <c r="AF69"/>
  <c r="AE69"/>
  <c r="AD69"/>
  <c r="Z69"/>
  <c r="I69"/>
  <c r="BJ68"/>
  <c r="BF68"/>
  <c r="BD68"/>
  <c r="AW68"/>
  <c r="AP68"/>
  <c r="AX68" s="1"/>
  <c r="AO68"/>
  <c r="BH68" s="1"/>
  <c r="AB68" s="1"/>
  <c r="AL68"/>
  <c r="AK68"/>
  <c r="AJ68"/>
  <c r="AH68"/>
  <c r="AG68"/>
  <c r="AF68"/>
  <c r="AE68"/>
  <c r="AD68"/>
  <c r="Z68"/>
  <c r="I68"/>
  <c r="BJ67"/>
  <c r="BF67"/>
  <c r="BD67"/>
  <c r="AP67"/>
  <c r="BI67" s="1"/>
  <c r="AC67" s="1"/>
  <c r="AO67"/>
  <c r="AW67" s="1"/>
  <c r="AK67"/>
  <c r="AJ67"/>
  <c r="AH67"/>
  <c r="AG67"/>
  <c r="AF67"/>
  <c r="AE67"/>
  <c r="AD67"/>
  <c r="Z67"/>
  <c r="I67"/>
  <c r="AL67" s="1"/>
  <c r="AT66"/>
  <c r="BJ63"/>
  <c r="BF63"/>
  <c r="BD63"/>
  <c r="AP63"/>
  <c r="AX63" s="1"/>
  <c r="AO63"/>
  <c r="BH63" s="1"/>
  <c r="AB63" s="1"/>
  <c r="AK63"/>
  <c r="AJ63"/>
  <c r="AS49" s="1"/>
  <c r="AH63"/>
  <c r="AG63"/>
  <c r="AF63"/>
  <c r="AE63"/>
  <c r="AD63"/>
  <c r="Z63"/>
  <c r="I63"/>
  <c r="AL63" s="1"/>
  <c r="BJ59"/>
  <c r="BF59"/>
  <c r="BD59"/>
  <c r="AX59"/>
  <c r="AP59"/>
  <c r="BI59" s="1"/>
  <c r="AC59" s="1"/>
  <c r="AO59"/>
  <c r="AW59" s="1"/>
  <c r="AK59"/>
  <c r="AJ59"/>
  <c r="AH59"/>
  <c r="AG59"/>
  <c r="AF59"/>
  <c r="AE59"/>
  <c r="AD59"/>
  <c r="Z59"/>
  <c r="I59"/>
  <c r="AL59" s="1"/>
  <c r="BJ54"/>
  <c r="BF54"/>
  <c r="BD54"/>
  <c r="AW54"/>
  <c r="AP54"/>
  <c r="AX54" s="1"/>
  <c r="AO54"/>
  <c r="BH54" s="1"/>
  <c r="AB54" s="1"/>
  <c r="AL54"/>
  <c r="AK54"/>
  <c r="AJ54"/>
  <c r="AH54"/>
  <c r="AG54"/>
  <c r="AF54"/>
  <c r="AE54"/>
  <c r="AD54"/>
  <c r="Z54"/>
  <c r="I54"/>
  <c r="BJ52"/>
  <c r="BF52"/>
  <c r="BD52"/>
  <c r="AV52"/>
  <c r="AP52"/>
  <c r="AX52" s="1"/>
  <c r="AO52"/>
  <c r="AW52" s="1"/>
  <c r="BC52" s="1"/>
  <c r="AK52"/>
  <c r="AT49" s="1"/>
  <c r="AJ52"/>
  <c r="AH52"/>
  <c r="AG52"/>
  <c r="AF52"/>
  <c r="AE52"/>
  <c r="AD52"/>
  <c r="Z52"/>
  <c r="I52"/>
  <c r="AL52" s="1"/>
  <c r="BJ50"/>
  <c r="BF50"/>
  <c r="BD50"/>
  <c r="AP50"/>
  <c r="AX50" s="1"/>
  <c r="AO50"/>
  <c r="AW50" s="1"/>
  <c r="AV50" s="1"/>
  <c r="AK50"/>
  <c r="AJ50"/>
  <c r="AH50"/>
  <c r="AG50"/>
  <c r="AF50"/>
  <c r="AE50"/>
  <c r="AD50"/>
  <c r="Z50"/>
  <c r="I50"/>
  <c r="BJ47"/>
  <c r="BH47"/>
  <c r="AB47" s="1"/>
  <c r="BF47"/>
  <c r="BD47"/>
  <c r="AX47"/>
  <c r="AP47"/>
  <c r="BI47" s="1"/>
  <c r="AC47" s="1"/>
  <c r="AO47"/>
  <c r="AW47" s="1"/>
  <c r="AK47"/>
  <c r="AJ47"/>
  <c r="AH47"/>
  <c r="AG47"/>
  <c r="AF47"/>
  <c r="AE47"/>
  <c r="AD47"/>
  <c r="Z47"/>
  <c r="I47"/>
  <c r="AL47" s="1"/>
  <c r="BJ46"/>
  <c r="Z46" s="1"/>
  <c r="BF46"/>
  <c r="BD46"/>
  <c r="AW46"/>
  <c r="AP46"/>
  <c r="AX46" s="1"/>
  <c r="AO46"/>
  <c r="BH46" s="1"/>
  <c r="AL46"/>
  <c r="AK46"/>
  <c r="AJ46"/>
  <c r="AH46"/>
  <c r="AG46"/>
  <c r="AF46"/>
  <c r="AE46"/>
  <c r="AD46"/>
  <c r="AC46"/>
  <c r="AB46"/>
  <c r="I46"/>
  <c r="BJ44"/>
  <c r="Z44" s="1"/>
  <c r="BF44"/>
  <c r="BD44"/>
  <c r="AP44"/>
  <c r="BI44" s="1"/>
  <c r="AO44"/>
  <c r="AW44" s="1"/>
  <c r="AK44"/>
  <c r="AT38" s="1"/>
  <c r="AJ44"/>
  <c r="AH44"/>
  <c r="AG44"/>
  <c r="AF44"/>
  <c r="AE44"/>
  <c r="AD44"/>
  <c r="AC44"/>
  <c r="AB44"/>
  <c r="I44"/>
  <c r="AL44" s="1"/>
  <c r="BJ43"/>
  <c r="BF43"/>
  <c r="BD43"/>
  <c r="BC43"/>
  <c r="AP43"/>
  <c r="AX43" s="1"/>
  <c r="AO43"/>
  <c r="AW43" s="1"/>
  <c r="AK43"/>
  <c r="AJ43"/>
  <c r="AH43"/>
  <c r="AG43"/>
  <c r="AF43"/>
  <c r="AE43"/>
  <c r="AD43"/>
  <c r="AC43"/>
  <c r="AB43"/>
  <c r="Z43"/>
  <c r="C21" i="1" s="1"/>
  <c r="I43" i="4"/>
  <c r="AL43" s="1"/>
  <c r="BJ40"/>
  <c r="BF40"/>
  <c r="BD40"/>
  <c r="AX40"/>
  <c r="AP40"/>
  <c r="BI40" s="1"/>
  <c r="AC40" s="1"/>
  <c r="AO40"/>
  <c r="AW40" s="1"/>
  <c r="AK40"/>
  <c r="AJ40"/>
  <c r="AH40"/>
  <c r="AG40"/>
  <c r="AF40"/>
  <c r="AE40"/>
  <c r="AD40"/>
  <c r="Z40"/>
  <c r="I40"/>
  <c r="BJ39"/>
  <c r="BF39"/>
  <c r="BD39"/>
  <c r="AW39"/>
  <c r="AP39"/>
  <c r="AX39" s="1"/>
  <c r="AO39"/>
  <c r="BH39" s="1"/>
  <c r="AB39" s="1"/>
  <c r="AL39"/>
  <c r="AK39"/>
  <c r="AJ39"/>
  <c r="AH39"/>
  <c r="AG39"/>
  <c r="AF39"/>
  <c r="AE39"/>
  <c r="AD39"/>
  <c r="Z39"/>
  <c r="I39"/>
  <c r="BO36"/>
  <c r="BJ36"/>
  <c r="BF36"/>
  <c r="BD36"/>
  <c r="AX36"/>
  <c r="AP36"/>
  <c r="BI36" s="1"/>
  <c r="AO36"/>
  <c r="AW36" s="1"/>
  <c r="AK36"/>
  <c r="AJ36"/>
  <c r="AH36"/>
  <c r="AG36"/>
  <c r="AF36"/>
  <c r="AE36"/>
  <c r="AD36"/>
  <c r="AC36"/>
  <c r="AB36"/>
  <c r="Z36"/>
  <c r="I36"/>
  <c r="AL36" s="1"/>
  <c r="BO35"/>
  <c r="BJ35"/>
  <c r="BF35"/>
  <c r="BD35"/>
  <c r="AX35"/>
  <c r="AP35"/>
  <c r="BI35" s="1"/>
  <c r="AO35"/>
  <c r="AW35" s="1"/>
  <c r="AK35"/>
  <c r="AJ35"/>
  <c r="AH35"/>
  <c r="AG35"/>
  <c r="AF35"/>
  <c r="AE35"/>
  <c r="AD35"/>
  <c r="AC35"/>
  <c r="AB35"/>
  <c r="Z35"/>
  <c r="I35"/>
  <c r="AL35" s="1"/>
  <c r="BO34"/>
  <c r="BJ34"/>
  <c r="BH34"/>
  <c r="BF34"/>
  <c r="BD34"/>
  <c r="AX34"/>
  <c r="AP34"/>
  <c r="BI34" s="1"/>
  <c r="AO34"/>
  <c r="AW34" s="1"/>
  <c r="AK34"/>
  <c r="AJ34"/>
  <c r="AH34"/>
  <c r="AG34"/>
  <c r="AF34"/>
  <c r="AE34"/>
  <c r="AD34"/>
  <c r="AC34"/>
  <c r="AB34"/>
  <c r="Z34"/>
  <c r="I34"/>
  <c r="AL34" s="1"/>
  <c r="AU33" s="1"/>
  <c r="AT33"/>
  <c r="AS33"/>
  <c r="I33"/>
  <c r="BM32"/>
  <c r="BJ32"/>
  <c r="BF32"/>
  <c r="BD32"/>
  <c r="AX32"/>
  <c r="AP32"/>
  <c r="BI32" s="1"/>
  <c r="AO32"/>
  <c r="AW32" s="1"/>
  <c r="AK32"/>
  <c r="AJ32"/>
  <c r="AH32"/>
  <c r="AG32"/>
  <c r="AF32"/>
  <c r="AE32"/>
  <c r="AD32"/>
  <c r="AC32"/>
  <c r="AB32"/>
  <c r="Z32"/>
  <c r="I32"/>
  <c r="AL32" s="1"/>
  <c r="BM31"/>
  <c r="BJ31"/>
  <c r="BF31"/>
  <c r="BD31"/>
  <c r="AX31"/>
  <c r="AP31"/>
  <c r="BI31" s="1"/>
  <c r="AO31"/>
  <c r="AW31" s="1"/>
  <c r="AK31"/>
  <c r="AJ31"/>
  <c r="AH31"/>
  <c r="AG31"/>
  <c r="AF31"/>
  <c r="AE31"/>
  <c r="AD31"/>
  <c r="AC31"/>
  <c r="AB31"/>
  <c r="Z31"/>
  <c r="I31"/>
  <c r="AL31" s="1"/>
  <c r="BM30"/>
  <c r="BJ30"/>
  <c r="BH30"/>
  <c r="BF30"/>
  <c r="BD30"/>
  <c r="AX30"/>
  <c r="AP30"/>
  <c r="BI30" s="1"/>
  <c r="AO30"/>
  <c r="AW30" s="1"/>
  <c r="AK30"/>
  <c r="AJ30"/>
  <c r="AH30"/>
  <c r="AG30"/>
  <c r="AF30"/>
  <c r="AE30"/>
  <c r="AD30"/>
  <c r="AC30"/>
  <c r="AB30"/>
  <c r="Z30"/>
  <c r="I30"/>
  <c r="AL30" s="1"/>
  <c r="BM29"/>
  <c r="BJ29"/>
  <c r="BH29"/>
  <c r="BF29"/>
  <c r="BD29"/>
  <c r="AX29"/>
  <c r="AP29"/>
  <c r="BI29" s="1"/>
  <c r="AO29"/>
  <c r="AW29" s="1"/>
  <c r="AK29"/>
  <c r="AJ29"/>
  <c r="AH29"/>
  <c r="AG29"/>
  <c r="AF29"/>
  <c r="AE29"/>
  <c r="AD29"/>
  <c r="AC29"/>
  <c r="AB29"/>
  <c r="Z29"/>
  <c r="I29"/>
  <c r="AL29" s="1"/>
  <c r="BM28"/>
  <c r="BJ28"/>
  <c r="BF28"/>
  <c r="BD28"/>
  <c r="AX28"/>
  <c r="AP28"/>
  <c r="BI28" s="1"/>
  <c r="AO28"/>
  <c r="AW28" s="1"/>
  <c r="AK28"/>
  <c r="AJ28"/>
  <c r="AH28"/>
  <c r="AG28"/>
  <c r="AF28"/>
  <c r="AE28"/>
  <c r="AD28"/>
  <c r="AC28"/>
  <c r="AB28"/>
  <c r="Z28"/>
  <c r="I28"/>
  <c r="AL28" s="1"/>
  <c r="BM27"/>
  <c r="BJ27"/>
  <c r="BF27"/>
  <c r="BD27"/>
  <c r="AX27"/>
  <c r="AP27"/>
  <c r="BI27" s="1"/>
  <c r="AO27"/>
  <c r="AW27" s="1"/>
  <c r="AK27"/>
  <c r="AJ27"/>
  <c r="AH27"/>
  <c r="AG27"/>
  <c r="AF27"/>
  <c r="AE27"/>
  <c r="AD27"/>
  <c r="AC27"/>
  <c r="AB27"/>
  <c r="Z27"/>
  <c r="I27"/>
  <c r="AL27" s="1"/>
  <c r="BM26"/>
  <c r="BJ26"/>
  <c r="BH26"/>
  <c r="BF26"/>
  <c r="BD26"/>
  <c r="AX26"/>
  <c r="AP26"/>
  <c r="BI26" s="1"/>
  <c r="AO26"/>
  <c r="AW26" s="1"/>
  <c r="AK26"/>
  <c r="AJ26"/>
  <c r="AH26"/>
  <c r="AG26"/>
  <c r="AF26"/>
  <c r="AE26"/>
  <c r="AD26"/>
  <c r="AC26"/>
  <c r="AB26"/>
  <c r="Z26"/>
  <c r="I26"/>
  <c r="AL26" s="1"/>
  <c r="BM25"/>
  <c r="BJ25"/>
  <c r="BH25"/>
  <c r="BF25"/>
  <c r="BD25"/>
  <c r="AX25"/>
  <c r="AP25"/>
  <c r="BI25" s="1"/>
  <c r="AO25"/>
  <c r="AW25" s="1"/>
  <c r="AK25"/>
  <c r="AJ25"/>
  <c r="AH25"/>
  <c r="AG25"/>
  <c r="AF25"/>
  <c r="AE25"/>
  <c r="AD25"/>
  <c r="AC25"/>
  <c r="AB25"/>
  <c r="Z25"/>
  <c r="I25"/>
  <c r="AL25" s="1"/>
  <c r="BM24"/>
  <c r="BJ24"/>
  <c r="BF24"/>
  <c r="BD24"/>
  <c r="AX24"/>
  <c r="AP24"/>
  <c r="BI24" s="1"/>
  <c r="AO24"/>
  <c r="AW24" s="1"/>
  <c r="AK24"/>
  <c r="AJ24"/>
  <c r="AH24"/>
  <c r="AG24"/>
  <c r="AF24"/>
  <c r="AE24"/>
  <c r="AD24"/>
  <c r="AC24"/>
  <c r="AB24"/>
  <c r="Z24"/>
  <c r="I24"/>
  <c r="AL24" s="1"/>
  <c r="BM23"/>
  <c r="BJ23"/>
  <c r="BF23"/>
  <c r="BD23"/>
  <c r="AX23"/>
  <c r="AP23"/>
  <c r="BI23" s="1"/>
  <c r="AO23"/>
  <c r="BH23" s="1"/>
  <c r="AK23"/>
  <c r="AJ23"/>
  <c r="AH23"/>
  <c r="AG23"/>
  <c r="AF23"/>
  <c r="AE23"/>
  <c r="AD23"/>
  <c r="AC23"/>
  <c r="AB23"/>
  <c r="Z23"/>
  <c r="I23"/>
  <c r="AL23" s="1"/>
  <c r="BM22"/>
  <c r="BJ22"/>
  <c r="BF22"/>
  <c r="BD22"/>
  <c r="AX22"/>
  <c r="AP22"/>
  <c r="BI22" s="1"/>
  <c r="AO22"/>
  <c r="BH22" s="1"/>
  <c r="AK22"/>
  <c r="AJ22"/>
  <c r="AH22"/>
  <c r="AG22"/>
  <c r="AF22"/>
  <c r="AE22"/>
  <c r="AD22"/>
  <c r="AC22"/>
  <c r="AB22"/>
  <c r="Z22"/>
  <c r="I22"/>
  <c r="AL22" s="1"/>
  <c r="BM21"/>
  <c r="BJ21"/>
  <c r="BH21"/>
  <c r="BF21"/>
  <c r="BD21"/>
  <c r="AX21"/>
  <c r="AW21"/>
  <c r="AP21"/>
  <c r="BI21" s="1"/>
  <c r="AO21"/>
  <c r="AL21"/>
  <c r="AK21"/>
  <c r="AJ21"/>
  <c r="AH21"/>
  <c r="AG21"/>
  <c r="AF21"/>
  <c r="AE21"/>
  <c r="AD21"/>
  <c r="AC21"/>
  <c r="AB21"/>
  <c r="Z21"/>
  <c r="I21"/>
  <c r="BM20"/>
  <c r="BJ20"/>
  <c r="BH20"/>
  <c r="BF20"/>
  <c r="BD20"/>
  <c r="AX20"/>
  <c r="AW20"/>
  <c r="AP20"/>
  <c r="BI20" s="1"/>
  <c r="AO20"/>
  <c r="AL20"/>
  <c r="AK20"/>
  <c r="AJ20"/>
  <c r="AH20"/>
  <c r="AG20"/>
  <c r="AF20"/>
  <c r="AE20"/>
  <c r="AD20"/>
  <c r="AC20"/>
  <c r="AB20"/>
  <c r="Z20"/>
  <c r="I20"/>
  <c r="BM19"/>
  <c r="BJ19"/>
  <c r="BF19"/>
  <c r="BD19"/>
  <c r="AX19"/>
  <c r="AP19"/>
  <c r="BI19" s="1"/>
  <c r="AO19"/>
  <c r="BH19" s="1"/>
  <c r="AK19"/>
  <c r="AJ19"/>
  <c r="AH19"/>
  <c r="AG19"/>
  <c r="AF19"/>
  <c r="AE19"/>
  <c r="AD19"/>
  <c r="AC19"/>
  <c r="AB19"/>
  <c r="Z19"/>
  <c r="I19"/>
  <c r="AL19" s="1"/>
  <c r="BM18"/>
  <c r="BJ18"/>
  <c r="BF18"/>
  <c r="BD18"/>
  <c r="AX18"/>
  <c r="AP18"/>
  <c r="BI18" s="1"/>
  <c r="AO18"/>
  <c r="BH18" s="1"/>
  <c r="AK18"/>
  <c r="AJ18"/>
  <c r="AH18"/>
  <c r="AG18"/>
  <c r="AF18"/>
  <c r="AE18"/>
  <c r="AD18"/>
  <c r="AC18"/>
  <c r="AB18"/>
  <c r="Z18"/>
  <c r="I18"/>
  <c r="AL18" s="1"/>
  <c r="BM17"/>
  <c r="BJ17"/>
  <c r="BH17"/>
  <c r="BF17"/>
  <c r="BD17"/>
  <c r="AX17"/>
  <c r="AW17"/>
  <c r="AP17"/>
  <c r="BI17" s="1"/>
  <c r="AO17"/>
  <c r="AL17"/>
  <c r="AK17"/>
  <c r="AJ17"/>
  <c r="AH17"/>
  <c r="AG17"/>
  <c r="AF17"/>
  <c r="AE17"/>
  <c r="AD17"/>
  <c r="AC17"/>
  <c r="AB17"/>
  <c r="Z17"/>
  <c r="I17"/>
  <c r="BM16"/>
  <c r="BJ16"/>
  <c r="BH16"/>
  <c r="BF16"/>
  <c r="BD16"/>
  <c r="AX16"/>
  <c r="AW16"/>
  <c r="AP16"/>
  <c r="BI16" s="1"/>
  <c r="AO16"/>
  <c r="AL16"/>
  <c r="AK16"/>
  <c r="AJ16"/>
  <c r="AH16"/>
  <c r="AG16"/>
  <c r="AF16"/>
  <c r="AE16"/>
  <c r="AD16"/>
  <c r="AC16"/>
  <c r="AB16"/>
  <c r="Z16"/>
  <c r="I16"/>
  <c r="BM15"/>
  <c r="F35" i="2" s="1"/>
  <c r="I35" s="1"/>
  <c r="I45" s="1"/>
  <c r="I24" i="1" s="1"/>
  <c r="BJ15" i="4"/>
  <c r="BF15"/>
  <c r="BD15"/>
  <c r="AX15"/>
  <c r="AP15"/>
  <c r="BI15" s="1"/>
  <c r="AO15"/>
  <c r="BH15" s="1"/>
  <c r="AK15"/>
  <c r="AJ15"/>
  <c r="AH15"/>
  <c r="C20" i="1" s="1"/>
  <c r="AG15" i="4"/>
  <c r="AF15"/>
  <c r="AE15"/>
  <c r="AD15"/>
  <c r="AC15"/>
  <c r="AB15"/>
  <c r="Z15"/>
  <c r="I15"/>
  <c r="AL15" s="1"/>
  <c r="AT14"/>
  <c r="AS14"/>
  <c r="I14"/>
  <c r="AU1"/>
  <c r="AT1"/>
  <c r="AS1"/>
  <c r="N18" i="3"/>
  <c r="N17"/>
  <c r="N16"/>
  <c r="N15"/>
  <c r="N14"/>
  <c r="N13"/>
  <c r="N12"/>
  <c r="J8"/>
  <c r="H8"/>
  <c r="D8"/>
  <c r="J6"/>
  <c r="H6"/>
  <c r="D6"/>
  <c r="J4"/>
  <c r="H4"/>
  <c r="D4"/>
  <c r="J2"/>
  <c r="H2"/>
  <c r="D2"/>
  <c r="I44" i="2"/>
  <c r="F44"/>
  <c r="F43"/>
  <c r="I43" s="1"/>
  <c r="I42"/>
  <c r="F42"/>
  <c r="F41"/>
  <c r="I41" s="1"/>
  <c r="I40"/>
  <c r="F40"/>
  <c r="F39"/>
  <c r="I39" s="1"/>
  <c r="I38"/>
  <c r="F38"/>
  <c r="F37"/>
  <c r="I37" s="1"/>
  <c r="I36"/>
  <c r="F36"/>
  <c r="I26"/>
  <c r="I25"/>
  <c r="I18" i="1" s="1"/>
  <c r="I24" i="2"/>
  <c r="I23"/>
  <c r="I16" i="1" s="1"/>
  <c r="I22" i="2"/>
  <c r="I21"/>
  <c r="I27" s="1"/>
  <c r="I17"/>
  <c r="I16"/>
  <c r="I15"/>
  <c r="F14" i="1" s="1"/>
  <c r="F22" s="1"/>
  <c r="I10" i="2"/>
  <c r="F10"/>
  <c r="C10"/>
  <c r="F8"/>
  <c r="C8"/>
  <c r="F6"/>
  <c r="C6"/>
  <c r="F4"/>
  <c r="C4"/>
  <c r="F2"/>
  <c r="C2"/>
  <c r="C28" i="1"/>
  <c r="F28" s="1"/>
  <c r="I19"/>
  <c r="I17"/>
  <c r="F16"/>
  <c r="I15"/>
  <c r="F15"/>
  <c r="I14"/>
  <c r="I22" s="1"/>
  <c r="I10"/>
  <c r="F10"/>
  <c r="C10"/>
  <c r="F8"/>
  <c r="C8"/>
  <c r="F6"/>
  <c r="C6"/>
  <c r="F4"/>
  <c r="C4"/>
  <c r="F2"/>
  <c r="C2"/>
  <c r="AU79" i="4" l="1"/>
  <c r="AU14"/>
  <c r="I12"/>
  <c r="L12" i="3" s="1"/>
  <c r="P12" s="1"/>
  <c r="I79" i="4"/>
  <c r="AL84"/>
  <c r="AV91"/>
  <c r="BC91"/>
  <c r="AW127"/>
  <c r="BH127"/>
  <c r="AB127" s="1"/>
  <c r="AX151"/>
  <c r="BI151"/>
  <c r="AC151" s="1"/>
  <c r="AW287"/>
  <c r="BH287"/>
  <c r="AB287" s="1"/>
  <c r="AV558"/>
  <c r="BC558"/>
  <c r="BC592"/>
  <c r="AV592"/>
  <c r="BC616"/>
  <c r="AV616"/>
  <c r="BC20"/>
  <c r="AV20"/>
  <c r="BC47"/>
  <c r="AV47"/>
  <c r="BC69"/>
  <c r="AV69"/>
  <c r="AV72"/>
  <c r="BC72"/>
  <c r="BC109"/>
  <c r="AV109"/>
  <c r="AX120"/>
  <c r="BI120"/>
  <c r="AC120" s="1"/>
  <c r="AX133"/>
  <c r="BI133"/>
  <c r="AC133" s="1"/>
  <c r="AL136"/>
  <c r="AU135" s="1"/>
  <c r="I135"/>
  <c r="BC139"/>
  <c r="AV139"/>
  <c r="AX144"/>
  <c r="BC144" s="1"/>
  <c r="BI144"/>
  <c r="AC144" s="1"/>
  <c r="BC170"/>
  <c r="AV170"/>
  <c r="AX176"/>
  <c r="BI176"/>
  <c r="AC176" s="1"/>
  <c r="BC185"/>
  <c r="AV185"/>
  <c r="AX188"/>
  <c r="BI188"/>
  <c r="AC188" s="1"/>
  <c r="AW239"/>
  <c r="BH239"/>
  <c r="AB239" s="1"/>
  <c r="AL265"/>
  <c r="AU264" s="1"/>
  <c r="I264"/>
  <c r="AW305"/>
  <c r="BH305"/>
  <c r="AB305" s="1"/>
  <c r="AU388"/>
  <c r="I13"/>
  <c r="BI43"/>
  <c r="BI93"/>
  <c r="AC93" s="1"/>
  <c r="BI102"/>
  <c r="AC102" s="1"/>
  <c r="AV151"/>
  <c r="BI373"/>
  <c r="AC373" s="1"/>
  <c r="BI423"/>
  <c r="AC423" s="1"/>
  <c r="BC17"/>
  <c r="AV17"/>
  <c r="AV54"/>
  <c r="BC54"/>
  <c r="AV96"/>
  <c r="BC96"/>
  <c r="I147"/>
  <c r="AL148"/>
  <c r="AU147" s="1"/>
  <c r="AV380"/>
  <c r="BC380"/>
  <c r="AV384"/>
  <c r="BC384"/>
  <c r="I388"/>
  <c r="AL390"/>
  <c r="BC489"/>
  <c r="AV489"/>
  <c r="BC504"/>
  <c r="AV504"/>
  <c r="BC530"/>
  <c r="AV530"/>
  <c r="BC551"/>
  <c r="AV551"/>
  <c r="BC561"/>
  <c r="AV561"/>
  <c r="AV581"/>
  <c r="BC581"/>
  <c r="BC584"/>
  <c r="AV584"/>
  <c r="BC598"/>
  <c r="AV598"/>
  <c r="BC612"/>
  <c r="AV612"/>
  <c r="BC620"/>
  <c r="AV620"/>
  <c r="BC16"/>
  <c r="AV16"/>
  <c r="BC25"/>
  <c r="AV25"/>
  <c r="BC29"/>
  <c r="AV29"/>
  <c r="BC39"/>
  <c r="AV39"/>
  <c r="AV80"/>
  <c r="BC80"/>
  <c r="BC26"/>
  <c r="AV26"/>
  <c r="BC30"/>
  <c r="AV30"/>
  <c r="BC34"/>
  <c r="AV34"/>
  <c r="AV46"/>
  <c r="BC46"/>
  <c r="AV68"/>
  <c r="BC68"/>
  <c r="AL69"/>
  <c r="I66"/>
  <c r="BC92"/>
  <c r="AV92"/>
  <c r="BC98"/>
  <c r="AV98"/>
  <c r="I106"/>
  <c r="AL109"/>
  <c r="AU106" s="1"/>
  <c r="BH122"/>
  <c r="AB122" s="1"/>
  <c r="AW122"/>
  <c r="AW125"/>
  <c r="BH125"/>
  <c r="AB125" s="1"/>
  <c r="AV133"/>
  <c r="BC133"/>
  <c r="BH145"/>
  <c r="AB145" s="1"/>
  <c r="AW145"/>
  <c r="AX148"/>
  <c r="BI148"/>
  <c r="AC148" s="1"/>
  <c r="I217"/>
  <c r="AL220"/>
  <c r="AW272"/>
  <c r="BH272"/>
  <c r="AB272" s="1"/>
  <c r="AW281"/>
  <c r="BH281"/>
  <c r="AB281" s="1"/>
  <c r="AV306"/>
  <c r="BC306"/>
  <c r="I311"/>
  <c r="AL313"/>
  <c r="BC357"/>
  <c r="AV357"/>
  <c r="BC395"/>
  <c r="AV395"/>
  <c r="AX430"/>
  <c r="AV430" s="1"/>
  <c r="BI430"/>
  <c r="AC430" s="1"/>
  <c r="BI113"/>
  <c r="AC113" s="1"/>
  <c r="I49"/>
  <c r="AV70"/>
  <c r="AV75"/>
  <c r="AV113"/>
  <c r="I18" i="2"/>
  <c r="F29" s="1"/>
  <c r="AW15" i="4"/>
  <c r="AW19"/>
  <c r="AW23"/>
  <c r="BH27"/>
  <c r="BH31"/>
  <c r="BH35"/>
  <c r="AV43"/>
  <c r="BC50"/>
  <c r="BH59"/>
  <c r="AB59" s="1"/>
  <c r="BI63"/>
  <c r="AC63" s="1"/>
  <c r="BH73"/>
  <c r="AB73" s="1"/>
  <c r="BH84"/>
  <c r="AB84" s="1"/>
  <c r="BI88"/>
  <c r="AC88" s="1"/>
  <c r="AV93"/>
  <c r="AV102"/>
  <c r="AS135"/>
  <c r="AU217"/>
  <c r="AU311"/>
  <c r="BC21"/>
  <c r="AV21"/>
  <c r="BC24"/>
  <c r="AV24"/>
  <c r="BC28"/>
  <c r="AV28"/>
  <c r="BC32"/>
  <c r="AV32"/>
  <c r="BC36"/>
  <c r="AV36"/>
  <c r="BC40"/>
  <c r="AV40"/>
  <c r="C27" i="1"/>
  <c r="AS38" i="4"/>
  <c r="BC346"/>
  <c r="AV346"/>
  <c r="BC538"/>
  <c r="AV538"/>
  <c r="BC569"/>
  <c r="AV569"/>
  <c r="AV575"/>
  <c r="BC575"/>
  <c r="I38"/>
  <c r="I622" s="1"/>
  <c r="AL40"/>
  <c r="C29" i="1" s="1"/>
  <c r="F29" s="1"/>
  <c r="BC27" i="4"/>
  <c r="AV27"/>
  <c r="BC31"/>
  <c r="AV31"/>
  <c r="BC35"/>
  <c r="AV35"/>
  <c r="BC59"/>
  <c r="AV59"/>
  <c r="BC73"/>
  <c r="AV73"/>
  <c r="BC84"/>
  <c r="AV84"/>
  <c r="AL92"/>
  <c r="I89"/>
  <c r="BC107"/>
  <c r="AV107"/>
  <c r="BC116"/>
  <c r="AV116"/>
  <c r="AV148"/>
  <c r="BC148"/>
  <c r="AW159"/>
  <c r="BH159"/>
  <c r="AB159" s="1"/>
  <c r="AX210"/>
  <c r="BI210"/>
  <c r="AE210" s="1"/>
  <c r="C17" i="1" s="1"/>
  <c r="AW230" i="4"/>
  <c r="BH230"/>
  <c r="AB230" s="1"/>
  <c r="AW262"/>
  <c r="BH262"/>
  <c r="AW322"/>
  <c r="BH322"/>
  <c r="AB322" s="1"/>
  <c r="BC349"/>
  <c r="AV349"/>
  <c r="AW377"/>
  <c r="BH377"/>
  <c r="AB377" s="1"/>
  <c r="AW383"/>
  <c r="BH383"/>
  <c r="AB383" s="1"/>
  <c r="BC451"/>
  <c r="AV451"/>
  <c r="BI70"/>
  <c r="AC70" s="1"/>
  <c r="BC44"/>
  <c r="AW18"/>
  <c r="AW22"/>
  <c r="BH24"/>
  <c r="BH28"/>
  <c r="BH32"/>
  <c r="BH36"/>
  <c r="BH40"/>
  <c r="AB40" s="1"/>
  <c r="BI50"/>
  <c r="AC50" s="1"/>
  <c r="AU66"/>
  <c r="BC70"/>
  <c r="BC75"/>
  <c r="AV88"/>
  <c r="AU89"/>
  <c r="AS106"/>
  <c r="BC113"/>
  <c r="BC142"/>
  <c r="BC165"/>
  <c r="AV165"/>
  <c r="BC190"/>
  <c r="AV190"/>
  <c r="BC192"/>
  <c r="AV192"/>
  <c r="BC196"/>
  <c r="AV196"/>
  <c r="BC198"/>
  <c r="AV198"/>
  <c r="BC218"/>
  <c r="AV218"/>
  <c r="BC246"/>
  <c r="AV246"/>
  <c r="I284"/>
  <c r="AL287"/>
  <c r="AU284" s="1"/>
  <c r="BC295"/>
  <c r="AV295"/>
  <c r="BC312"/>
  <c r="AV312"/>
  <c r="BC330"/>
  <c r="AV330"/>
  <c r="BC332"/>
  <c r="AV332"/>
  <c r="BC370"/>
  <c r="AV370"/>
  <c r="BC386"/>
  <c r="AV386"/>
  <c r="BC389"/>
  <c r="AV389"/>
  <c r="BC419"/>
  <c r="AV419"/>
  <c r="BH43"/>
  <c r="BH50"/>
  <c r="AB50" s="1"/>
  <c r="BI52"/>
  <c r="AC52" s="1"/>
  <c r="C15" i="1" s="1"/>
  <c r="BH70" i="4"/>
  <c r="AB70" s="1"/>
  <c r="BH93"/>
  <c r="AB93" s="1"/>
  <c r="BI94"/>
  <c r="AC94" s="1"/>
  <c r="BH102"/>
  <c r="AB102" s="1"/>
  <c r="BI105"/>
  <c r="AC105" s="1"/>
  <c r="BH113"/>
  <c r="AB113" s="1"/>
  <c r="BI114"/>
  <c r="AC114" s="1"/>
  <c r="AV117"/>
  <c r="AV141"/>
  <c r="BC151"/>
  <c r="AV298"/>
  <c r="AU340"/>
  <c r="BI343"/>
  <c r="AE343" s="1"/>
  <c r="BI353"/>
  <c r="AC353" s="1"/>
  <c r="AV362"/>
  <c r="AV373"/>
  <c r="AU374"/>
  <c r="AS388"/>
  <c r="AV423"/>
  <c r="BC430"/>
  <c r="BC157"/>
  <c r="AV157"/>
  <c r="BC173"/>
  <c r="AV173"/>
  <c r="BC186"/>
  <c r="AV186"/>
  <c r="BC228"/>
  <c r="AV228"/>
  <c r="BC238"/>
  <c r="AV238"/>
  <c r="BC271"/>
  <c r="AV271"/>
  <c r="BC285"/>
  <c r="AV285"/>
  <c r="BC303"/>
  <c r="AV303"/>
  <c r="BC319"/>
  <c r="AV319"/>
  <c r="BC351"/>
  <c r="AV351"/>
  <c r="BC360"/>
  <c r="AV360"/>
  <c r="BC376"/>
  <c r="AV376"/>
  <c r="BC382"/>
  <c r="AV382"/>
  <c r="BC399"/>
  <c r="AV399"/>
  <c r="AW458"/>
  <c r="BH458"/>
  <c r="AB458" s="1"/>
  <c r="BH75"/>
  <c r="AB75" s="1"/>
  <c r="BH88"/>
  <c r="AB88" s="1"/>
  <c r="C14" i="1" s="1"/>
  <c r="BI39" i="4"/>
  <c r="AC39" s="1"/>
  <c r="AX44"/>
  <c r="AV44" s="1"/>
  <c r="BH44"/>
  <c r="BI46"/>
  <c r="AL50"/>
  <c r="AU49" s="1"/>
  <c r="BH52"/>
  <c r="AB52" s="1"/>
  <c r="BI54"/>
  <c r="AC54" s="1"/>
  <c r="AW63"/>
  <c r="AX67"/>
  <c r="BC67" s="1"/>
  <c r="BH67"/>
  <c r="AB67" s="1"/>
  <c r="BI68"/>
  <c r="AC68" s="1"/>
  <c r="AX71"/>
  <c r="BC71" s="1"/>
  <c r="BH71"/>
  <c r="AB71" s="1"/>
  <c r="AX77"/>
  <c r="AX90"/>
  <c r="AW131"/>
  <c r="BH133"/>
  <c r="AB133" s="1"/>
  <c r="BI136"/>
  <c r="AC136" s="1"/>
  <c r="BH148"/>
  <c r="AB148" s="1"/>
  <c r="AT147"/>
  <c r="BH151"/>
  <c r="AB151" s="1"/>
  <c r="BI166"/>
  <c r="AC166" s="1"/>
  <c r="I206"/>
  <c r="I231"/>
  <c r="BH254"/>
  <c r="I280"/>
  <c r="I340"/>
  <c r="BH341"/>
  <c r="AD341" s="1"/>
  <c r="AV343"/>
  <c r="BC344"/>
  <c r="AV353"/>
  <c r="BC163"/>
  <c r="AV163"/>
  <c r="I184"/>
  <c r="AL186"/>
  <c r="AU184" s="1"/>
  <c r="BC205"/>
  <c r="AV205"/>
  <c r="BC207"/>
  <c r="AV207"/>
  <c r="BC220"/>
  <c r="AV220"/>
  <c r="BC244"/>
  <c r="AV244"/>
  <c r="BC253"/>
  <c r="AV253"/>
  <c r="BC254"/>
  <c r="AV254"/>
  <c r="BC259"/>
  <c r="AV259"/>
  <c r="BC265"/>
  <c r="AV265"/>
  <c r="BC279"/>
  <c r="AV279"/>
  <c r="BC292"/>
  <c r="AV292"/>
  <c r="BC313"/>
  <c r="AV313"/>
  <c r="BC339"/>
  <c r="AV339"/>
  <c r="BC341"/>
  <c r="AV341"/>
  <c r="I348"/>
  <c r="AL351"/>
  <c r="AU348" s="1"/>
  <c r="BC367"/>
  <c r="AV367"/>
  <c r="BC390"/>
  <c r="AV390"/>
  <c r="BC412"/>
  <c r="AV412"/>
  <c r="BC429"/>
  <c r="AV429"/>
  <c r="AX463"/>
  <c r="AV463" s="1"/>
  <c r="BI463"/>
  <c r="AC463" s="1"/>
  <c r="BC117"/>
  <c r="BI129"/>
  <c r="AC129" s="1"/>
  <c r="BC141"/>
  <c r="AT184"/>
  <c r="BC193"/>
  <c r="AT206"/>
  <c r="BC224"/>
  <c r="BC232"/>
  <c r="BC267"/>
  <c r="BC298"/>
  <c r="BC301"/>
  <c r="I300"/>
  <c r="BI306"/>
  <c r="AC306" s="1"/>
  <c r="BC309"/>
  <c r="BC314"/>
  <c r="BC325"/>
  <c r="AT348"/>
  <c r="BC362"/>
  <c r="BC373"/>
  <c r="BC375"/>
  <c r="I374"/>
  <c r="BI380"/>
  <c r="AC380" s="1"/>
  <c r="BC381"/>
  <c r="BI384"/>
  <c r="AC384" s="1"/>
  <c r="BC385"/>
  <c r="BC406"/>
  <c r="BC423"/>
  <c r="BC476"/>
  <c r="AV476"/>
  <c r="BC483"/>
  <c r="AV483"/>
  <c r="BC497"/>
  <c r="AV497"/>
  <c r="BC509"/>
  <c r="AV509"/>
  <c r="AV542"/>
  <c r="AV562"/>
  <c r="BC562"/>
  <c r="BC565"/>
  <c r="AV565"/>
  <c r="AV570"/>
  <c r="BC570"/>
  <c r="AV585"/>
  <c r="BC585"/>
  <c r="BC588"/>
  <c r="AV588"/>
  <c r="AV593"/>
  <c r="BC593"/>
  <c r="BC596"/>
  <c r="AV596"/>
  <c r="BC602"/>
  <c r="AV602"/>
  <c r="BC610"/>
  <c r="AV610"/>
  <c r="BC618"/>
  <c r="AV618"/>
  <c r="BH298"/>
  <c r="AB298" s="1"/>
  <c r="BI301"/>
  <c r="AC301" s="1"/>
  <c r="BH306"/>
  <c r="AB306" s="1"/>
  <c r="BI309"/>
  <c r="AC309" s="1"/>
  <c r="BH343"/>
  <c r="AD343" s="1"/>
  <c r="BI344"/>
  <c r="AE344" s="1"/>
  <c r="BH353"/>
  <c r="AB353" s="1"/>
  <c r="BI355"/>
  <c r="AC355" s="1"/>
  <c r="BH362"/>
  <c r="AB362" s="1"/>
  <c r="BI365"/>
  <c r="AC365" s="1"/>
  <c r="BH373"/>
  <c r="AB373" s="1"/>
  <c r="BI375"/>
  <c r="AC375" s="1"/>
  <c r="BH380"/>
  <c r="AB380" s="1"/>
  <c r="BI381"/>
  <c r="AC381" s="1"/>
  <c r="BH384"/>
  <c r="AB384" s="1"/>
  <c r="BI385"/>
  <c r="AC385" s="1"/>
  <c r="BI392"/>
  <c r="AC392" s="1"/>
  <c r="BI409"/>
  <c r="AC409" s="1"/>
  <c r="BH423"/>
  <c r="AB423" s="1"/>
  <c r="BI426"/>
  <c r="AC426" s="1"/>
  <c r="AW439"/>
  <c r="BI458"/>
  <c r="AC458" s="1"/>
  <c r="AW467"/>
  <c r="AU490"/>
  <c r="AU529"/>
  <c r="AL476"/>
  <c r="AU474" s="1"/>
  <c r="I474"/>
  <c r="BC517"/>
  <c r="AV517"/>
  <c r="AV544"/>
  <c r="BC544"/>
  <c r="AV549"/>
  <c r="BC549"/>
  <c r="BC559"/>
  <c r="AV559"/>
  <c r="AV566"/>
  <c r="BC566"/>
  <c r="BC582"/>
  <c r="AV582"/>
  <c r="AV589"/>
  <c r="BC589"/>
  <c r="AV597"/>
  <c r="BC597"/>
  <c r="BC600"/>
  <c r="AV600"/>
  <c r="AV607"/>
  <c r="BC607"/>
  <c r="AV611"/>
  <c r="BC611"/>
  <c r="BC614"/>
  <c r="AV614"/>
  <c r="AV619"/>
  <c r="BC619"/>
  <c r="BC434"/>
  <c r="AV442"/>
  <c r="BC466"/>
  <c r="AV468"/>
  <c r="AV482"/>
  <c r="AV507"/>
  <c r="AU519"/>
  <c r="AV525"/>
  <c r="AV535"/>
  <c r="BC546"/>
  <c r="BC553"/>
  <c r="BC564"/>
  <c r="BC587"/>
  <c r="BC595"/>
  <c r="BC609"/>
  <c r="BC453"/>
  <c r="AV453"/>
  <c r="AV475"/>
  <c r="BC475"/>
  <c r="AV522"/>
  <c r="BC547"/>
  <c r="AV547"/>
  <c r="BC557"/>
  <c r="AV557"/>
  <c r="BC563"/>
  <c r="AV563"/>
  <c r="BC567"/>
  <c r="AV567"/>
  <c r="BC571"/>
  <c r="AV571"/>
  <c r="BC574"/>
  <c r="AV574"/>
  <c r="BC577"/>
  <c r="AV577"/>
  <c r="BC580"/>
  <c r="AV580"/>
  <c r="BC586"/>
  <c r="AV586"/>
  <c r="BC590"/>
  <c r="AV590"/>
  <c r="BC594"/>
  <c r="AV594"/>
  <c r="AV601"/>
  <c r="BC601"/>
  <c r="BC604"/>
  <c r="AV604"/>
  <c r="BC608"/>
  <c r="AV608"/>
  <c r="AV615"/>
  <c r="BC615"/>
  <c r="AV515"/>
  <c r="BC545"/>
  <c r="BC599"/>
  <c r="AU606"/>
  <c r="BC613"/>
  <c r="BC621"/>
  <c r="BH430"/>
  <c r="AB430" s="1"/>
  <c r="BI434"/>
  <c r="AC434" s="1"/>
  <c r="BH448"/>
  <c r="AB448" s="1"/>
  <c r="BI451"/>
  <c r="AC451" s="1"/>
  <c r="BH463"/>
  <c r="AB463" s="1"/>
  <c r="BI466"/>
  <c r="AC466" s="1"/>
  <c r="AX471"/>
  <c r="AW478"/>
  <c r="AX480"/>
  <c r="AV480" s="1"/>
  <c r="BH480"/>
  <c r="AB480" s="1"/>
  <c r="BC482"/>
  <c r="BI482"/>
  <c r="AC482" s="1"/>
  <c r="AW485"/>
  <c r="AX486"/>
  <c r="BC487"/>
  <c r="AW491"/>
  <c r="AX493"/>
  <c r="BC495"/>
  <c r="AW499"/>
  <c r="AX501"/>
  <c r="BC503"/>
  <c r="AW505"/>
  <c r="AX506"/>
  <c r="AV506" s="1"/>
  <c r="BH506"/>
  <c r="AB506" s="1"/>
  <c r="BC507"/>
  <c r="BI507"/>
  <c r="AC507" s="1"/>
  <c r="AW511"/>
  <c r="AX513"/>
  <c r="AV513" s="1"/>
  <c r="BH513"/>
  <c r="AB513" s="1"/>
  <c r="BC515"/>
  <c r="BI515"/>
  <c r="AC515" s="1"/>
  <c r="AW520"/>
  <c r="AX522"/>
  <c r="BC522" s="1"/>
  <c r="BH522"/>
  <c r="AB522" s="1"/>
  <c r="BC525"/>
  <c r="BI525"/>
  <c r="AC525" s="1"/>
  <c r="AW531"/>
  <c r="AX533"/>
  <c r="AV533" s="1"/>
  <c r="BH533"/>
  <c r="AB533" s="1"/>
  <c r="BC535"/>
  <c r="BI535"/>
  <c r="AC535" s="1"/>
  <c r="AW541"/>
  <c r="AX542"/>
  <c r="BC542" s="1"/>
  <c r="BH542"/>
  <c r="BI544"/>
  <c r="AV545"/>
  <c r="BH547"/>
  <c r="BI549"/>
  <c r="AE549" s="1"/>
  <c r="BH557"/>
  <c r="AB557" s="1"/>
  <c r="BI558"/>
  <c r="AC558" s="1"/>
  <c r="BH561"/>
  <c r="AB561" s="1"/>
  <c r="BI562"/>
  <c r="AC562" s="1"/>
  <c r="BH565"/>
  <c r="AB565" s="1"/>
  <c r="BI566"/>
  <c r="AC566" s="1"/>
  <c r="BH569"/>
  <c r="AB569" s="1"/>
  <c r="BI570"/>
  <c r="AC570" s="1"/>
  <c r="BH574"/>
  <c r="AB574" s="1"/>
  <c r="BI575"/>
  <c r="AC575" s="1"/>
  <c r="BH580"/>
  <c r="AF580" s="1"/>
  <c r="BI581"/>
  <c r="AG581" s="1"/>
  <c r="BH584"/>
  <c r="AF584" s="1"/>
  <c r="BI585"/>
  <c r="AG585" s="1"/>
  <c r="BH588"/>
  <c r="AF588" s="1"/>
  <c r="BI589"/>
  <c r="AG589" s="1"/>
  <c r="BH592"/>
  <c r="AF592" s="1"/>
  <c r="BI593"/>
  <c r="AG593" s="1"/>
  <c r="BH596"/>
  <c r="AF596" s="1"/>
  <c r="BI597"/>
  <c r="AG597" s="1"/>
  <c r="BH600"/>
  <c r="AB600" s="1"/>
  <c r="BI601"/>
  <c r="AC601" s="1"/>
  <c r="BH604"/>
  <c r="AB604" s="1"/>
  <c r="BI607"/>
  <c r="AG607" s="1"/>
  <c r="BH610"/>
  <c r="AF610" s="1"/>
  <c r="BI611"/>
  <c r="AG611" s="1"/>
  <c r="BH614"/>
  <c r="AF614" s="1"/>
  <c r="BI615"/>
  <c r="AG615" s="1"/>
  <c r="BH618"/>
  <c r="AF618" s="1"/>
  <c r="BI619"/>
  <c r="AG619" s="1"/>
  <c r="BH544"/>
  <c r="BI545"/>
  <c r="AV546"/>
  <c r="BH549"/>
  <c r="AD549" s="1"/>
  <c r="BI551"/>
  <c r="AE551" s="1"/>
  <c r="AV553"/>
  <c r="AV556"/>
  <c r="AL557"/>
  <c r="AU555" s="1"/>
  <c r="BH558"/>
  <c r="AB558" s="1"/>
  <c r="BI559"/>
  <c r="AC559" s="1"/>
  <c r="AV560"/>
  <c r="BH562"/>
  <c r="AB562" s="1"/>
  <c r="BI563"/>
  <c r="AC563" s="1"/>
  <c r="AV564"/>
  <c r="BH566"/>
  <c r="AB566" s="1"/>
  <c r="BI567"/>
  <c r="AC567" s="1"/>
  <c r="AV568"/>
  <c r="BH570"/>
  <c r="AB570" s="1"/>
  <c r="BI571"/>
  <c r="AG571" s="1"/>
  <c r="AV573"/>
  <c r="AL574"/>
  <c r="AU572" s="1"/>
  <c r="BH575"/>
  <c r="AB575" s="1"/>
  <c r="BI577"/>
  <c r="AC577" s="1"/>
  <c r="AV579"/>
  <c r="AL580"/>
  <c r="AU578" s="1"/>
  <c r="BH581"/>
  <c r="AF581" s="1"/>
  <c r="BI582"/>
  <c r="AG582" s="1"/>
  <c r="AV583"/>
  <c r="BH585"/>
  <c r="AF585" s="1"/>
  <c r="BI586"/>
  <c r="AG586" s="1"/>
  <c r="AV587"/>
  <c r="BH589"/>
  <c r="AF589" s="1"/>
  <c r="BI590"/>
  <c r="AG590" s="1"/>
  <c r="AV591"/>
  <c r="BH593"/>
  <c r="AF593" s="1"/>
  <c r="BI594"/>
  <c r="AG594" s="1"/>
  <c r="AV595"/>
  <c r="BH597"/>
  <c r="AF597" s="1"/>
  <c r="BI598"/>
  <c r="AG598" s="1"/>
  <c r="AV599"/>
  <c r="BH601"/>
  <c r="AB601" s="1"/>
  <c r="BI602"/>
  <c r="AC602" s="1"/>
  <c r="AV603"/>
  <c r="BH607"/>
  <c r="AF607" s="1"/>
  <c r="BI608"/>
  <c r="AG608" s="1"/>
  <c r="AV609"/>
  <c r="BH611"/>
  <c r="AF611" s="1"/>
  <c r="BI612"/>
  <c r="AG612" s="1"/>
  <c r="AV613"/>
  <c r="BH615"/>
  <c r="AF615" s="1"/>
  <c r="BI616"/>
  <c r="AG616" s="1"/>
  <c r="AV617"/>
  <c r="BH619"/>
  <c r="AF619" s="1"/>
  <c r="BI620"/>
  <c r="AG620" s="1"/>
  <c r="AV621"/>
  <c r="BH483"/>
  <c r="AB483" s="1"/>
  <c r="BI485"/>
  <c r="AC485" s="1"/>
  <c r="BH489"/>
  <c r="AB489" s="1"/>
  <c r="BI491"/>
  <c r="AC491" s="1"/>
  <c r="BH497"/>
  <c r="AB497" s="1"/>
  <c r="BI499"/>
  <c r="AC499" s="1"/>
  <c r="BH504"/>
  <c r="AB504" s="1"/>
  <c r="BI505"/>
  <c r="AC505" s="1"/>
  <c r="BH509"/>
  <c r="AB509" s="1"/>
  <c r="BI511"/>
  <c r="AC511" s="1"/>
  <c r="BH517"/>
  <c r="AB517" s="1"/>
  <c r="BI520"/>
  <c r="AC520" s="1"/>
  <c r="BH530"/>
  <c r="AB530" s="1"/>
  <c r="BI531"/>
  <c r="AC531" s="1"/>
  <c r="BH538"/>
  <c r="BI541"/>
  <c r="BI546"/>
  <c r="BH551"/>
  <c r="AD551" s="1"/>
  <c r="BI553"/>
  <c r="BI556"/>
  <c r="AC556" s="1"/>
  <c r="BH559"/>
  <c r="AB559" s="1"/>
  <c r="BI560"/>
  <c r="AC560" s="1"/>
  <c r="BH563"/>
  <c r="AB563" s="1"/>
  <c r="BI564"/>
  <c r="AC564" s="1"/>
  <c r="BH571"/>
  <c r="AF571" s="1"/>
  <c r="C18" i="1" s="1"/>
  <c r="BI573" i="4"/>
  <c r="AC573" s="1"/>
  <c r="BH577"/>
  <c r="AB577" s="1"/>
  <c r="BI579"/>
  <c r="AG579" s="1"/>
  <c r="C19" i="1" s="1"/>
  <c r="BH582" i="4"/>
  <c r="AF582" s="1"/>
  <c r="BI583"/>
  <c r="AG583" s="1"/>
  <c r="BH586"/>
  <c r="AF586" s="1"/>
  <c r="BI587"/>
  <c r="AG587" s="1"/>
  <c r="BH594"/>
  <c r="AF594" s="1"/>
  <c r="BI595"/>
  <c r="AG595" s="1"/>
  <c r="BH598"/>
  <c r="AF598" s="1"/>
  <c r="BI599"/>
  <c r="AG599" s="1"/>
  <c r="BH602"/>
  <c r="AB602" s="1"/>
  <c r="BI603"/>
  <c r="AC603" s="1"/>
  <c r="BI609"/>
  <c r="AG609" s="1"/>
  <c r="BH612"/>
  <c r="AF612" s="1"/>
  <c r="BI613"/>
  <c r="AG613" s="1"/>
  <c r="BH620"/>
  <c r="AF620" s="1"/>
  <c r="BI621"/>
  <c r="AG621" s="1"/>
  <c r="I490"/>
  <c r="BC505" l="1"/>
  <c r="AV505"/>
  <c r="BC486"/>
  <c r="AV486"/>
  <c r="BC131"/>
  <c r="AV131"/>
  <c r="AV188"/>
  <c r="BC188"/>
  <c r="BC287"/>
  <c r="AV287"/>
  <c r="AV127"/>
  <c r="BC127"/>
  <c r="BC511"/>
  <c r="AV511"/>
  <c r="BC499"/>
  <c r="AV499"/>
  <c r="BC471"/>
  <c r="AV471"/>
  <c r="BC439"/>
  <c r="AV439"/>
  <c r="AV458"/>
  <c r="BC458"/>
  <c r="BC377"/>
  <c r="AV377"/>
  <c r="BC322"/>
  <c r="AV322"/>
  <c r="BC230"/>
  <c r="AV230"/>
  <c r="BC159"/>
  <c r="AV159"/>
  <c r="BC281"/>
  <c r="AV281"/>
  <c r="AV125"/>
  <c r="BC125"/>
  <c r="BC533"/>
  <c r="BC506"/>
  <c r="BC463"/>
  <c r="AV67"/>
  <c r="I28" i="1"/>
  <c r="I29" s="1"/>
  <c r="I213" i="4"/>
  <c r="L14" i="3" s="1"/>
  <c r="P14" s="1"/>
  <c r="I387" i="4"/>
  <c r="L17" i="3" s="1"/>
  <c r="P17" s="1"/>
  <c r="I263" i="4"/>
  <c r="L15" i="3" s="1"/>
  <c r="P15" s="1"/>
  <c r="AU38" i="4"/>
  <c r="BC541"/>
  <c r="AV541"/>
  <c r="AV63"/>
  <c r="BC63"/>
  <c r="BC23"/>
  <c r="AV23"/>
  <c r="BC122"/>
  <c r="AV122"/>
  <c r="AV176"/>
  <c r="BC176"/>
  <c r="AV120"/>
  <c r="BC120"/>
  <c r="BC520"/>
  <c r="AV520"/>
  <c r="BC501"/>
  <c r="AV501"/>
  <c r="BC491"/>
  <c r="AV491"/>
  <c r="AV478"/>
  <c r="BC478"/>
  <c r="BC77"/>
  <c r="AV77"/>
  <c r="BC18"/>
  <c r="AV18"/>
  <c r="BC15"/>
  <c r="AV15"/>
  <c r="BC145"/>
  <c r="AV145"/>
  <c r="BC305"/>
  <c r="AV305"/>
  <c r="BC239"/>
  <c r="AV239"/>
  <c r="C16" i="1"/>
  <c r="C22" s="1"/>
  <c r="AV71" i="4"/>
  <c r="BC480"/>
  <c r="I347"/>
  <c r="L16" i="3" s="1"/>
  <c r="P16" s="1"/>
  <c r="BC513" i="4"/>
  <c r="BC531"/>
  <c r="AV531"/>
  <c r="BC493"/>
  <c r="AV493"/>
  <c r="BC485"/>
  <c r="AV485"/>
  <c r="BC467"/>
  <c r="AV467"/>
  <c r="BC90"/>
  <c r="AV90"/>
  <c r="BC22"/>
  <c r="AV22"/>
  <c r="BC383"/>
  <c r="AV383"/>
  <c r="BC262"/>
  <c r="AV262"/>
  <c r="AV210"/>
  <c r="BC210"/>
  <c r="BC19"/>
  <c r="AV19"/>
  <c r="BC272"/>
  <c r="AV272"/>
  <c r="I37"/>
  <c r="L13" i="3" s="1"/>
  <c r="P13" s="1"/>
  <c r="L19" s="1"/>
  <c r="AV144" i="4"/>
</calcChain>
</file>

<file path=xl/sharedStrings.xml><?xml version="1.0" encoding="utf-8"?>
<sst xmlns="http://schemas.openxmlformats.org/spreadsheetml/2006/main" count="5044" uniqueCount="1371">
  <si>
    <t>Krycí list slepého rozpočtu</t>
  </si>
  <si>
    <t>Název stavby:</t>
  </si>
  <si>
    <t>Objednatel:</t>
  </si>
  <si>
    <t>IČO/DIČ:</t>
  </si>
  <si>
    <t/>
  </si>
  <si>
    <t>Druh stavby:</t>
  </si>
  <si>
    <t>Projektant:</t>
  </si>
  <si>
    <t>Lokalita:</t>
  </si>
  <si>
    <t>Zhotovitel:</t>
  </si>
  <si>
    <t>Začátek výstavby:</t>
  </si>
  <si>
    <t>Konec výstavby:</t>
  </si>
  <si>
    <t>Položek:</t>
  </si>
  <si>
    <t>JKSO:</t>
  </si>
  <si>
    <t>Zpracoval: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</si>
  <si>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</si>
  <si>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</si>
  <si>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</si>
  <si>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</si>
  <si>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</si>
  <si>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</si>
  <si>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</si>
  <si>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</si>
  <si>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</si>
  <si>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</si>
  <si>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</si>
  <si>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</si>
  <si>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Montáž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</si>
  <si>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</si>
  <si>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</si>
  <si>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</si>
  <si>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</si>
  <si>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</si>
  <si>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</si>
  <si>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</si>
  <si>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</si>
  <si>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</si>
  <si>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</si>
  <si>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</si>
  <si>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</si>
  <si>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</si>
  <si>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</si>
  <si>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</si>
  <si>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</si>
  <si>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</si>
  <si>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</si>
  <si>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</si>
  <si>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</si>
  <si>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</si>
  <si>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</si>
  <si>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</si>
  <si>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</si>
  <si>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</si>
  <si>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</si>
  <si>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</si>
  <si>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</si>
  <si>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</si>
  <si>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Poznámka:</t>
  </si>
  <si>
    <t>Vedlejší a ostatní rozpočtové náklady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</si>
  <si>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</si>
  <si>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</si>
  <si>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</si>
  <si>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</si>
  <si>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</si>
  <si>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</si>
  <si>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</si>
  <si>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</si>
  <si>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Vedlejší a ostatní rozpočtové náklady VORN</t>
  </si>
  <si>
    <t>Ostatní rozpočtové náklady (VORN)</t>
  </si>
  <si>
    <t>Průzkumy, geodetické a projektové práce</t>
  </si>
  <si>
    <t>Příprava staveniště</t>
  </si>
  <si>
    <t>Inženýrské činnosti</t>
  </si>
  <si>
    <t>Finanční náklady</t>
  </si>
  <si>
    <t>Náklady na pracovníky</t>
  </si>
  <si>
    <t>Ostatní náklady</t>
  </si>
  <si>
    <t>Vlastní VORN</t>
  </si>
  <si>
    <t>Celkem VORN</t>
  </si>
  <si>
    <t>Slepý stavební rozpočet - Jen objekty celkem</t>
  </si>
  <si>
    <t>Doba výstavby:</t>
  </si>
  <si>
    <t>Zpracováno dne:</t>
  </si>
  <si>
    <t xml:space="preserve"> </t>
  </si>
  <si>
    <t>Náklady (Kč)</t>
  </si>
  <si>
    <t>Objekt</t>
  </si>
  <si>
    <t>Zkrácený popis</t>
  </si>
  <si>
    <t>Celkem</t>
  </si>
  <si>
    <t>SO 000</t>
  </si>
  <si>
    <t>F</t>
  </si>
  <si>
    <t>SO 101</t>
  </si>
  <si>
    <t>Chodník</t>
  </si>
  <si>
    <t>SO 102</t>
  </si>
  <si>
    <t>Chodník neuznatelné výdaje</t>
  </si>
  <si>
    <t>SO 201</t>
  </si>
  <si>
    <t>Opěrná stěna</t>
  </si>
  <si>
    <t>SO 202</t>
  </si>
  <si>
    <t>Oplocení</t>
  </si>
  <si>
    <t>SO 301</t>
  </si>
  <si>
    <t>Uliční vpusti</t>
  </si>
  <si>
    <t>SO 401</t>
  </si>
  <si>
    <t>Veřejné osvětlení</t>
  </si>
  <si>
    <t>Celkem:</t>
  </si>
  <si>
    <t>Slepý stavební rozpočet</t>
  </si>
  <si>
    <t>005-2025 Bohdalov - chodník od hráze Záhumenního rybníka do městysu</t>
  </si>
  <si>
    <t> </t>
  </si>
  <si>
    <t>Č</t>
  </si>
  <si>
    <t>Kód</t>
  </si>
  <si>
    <t>Zkrácený popis / Varianta</t>
  </si>
  <si>
    <t>MJ</t>
  </si>
  <si>
    <t>Množství</t>
  </si>
  <si>
    <t>Cena/MJ</t>
  </si>
  <si>
    <t>ISWORK</t>
  </si>
  <si>
    <t>GROUPCODE</t>
  </si>
  <si>
    <t>VATTAX</t>
  </si>
  <si>
    <t>Rozměry</t>
  </si>
  <si>
    <t>(Kč)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</si>
  <si>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</si>
  <si>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</si>
  <si>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</si>
  <si>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</si>
  <si>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</si>
  <si>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</si>
  <si>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</si>
  <si>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</si>
  <si>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</si>
  <si>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</si>
  <si>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</si>
  <si>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</si>
  <si>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>VORN</t>
  </si>
  <si>
    <t>01VRN</t>
  </si>
  <si>
    <t>1</t>
  </si>
  <si>
    <t>010001VRN</t>
  </si>
  <si>
    <t>3x chemický rozbor asfaltu na obsah škodlivin ve výluhu</t>
  </si>
  <si>
    <t>Soubor</t>
  </si>
  <si>
    <t>99</t>
  </si>
  <si>
    <t>01VRN_</t>
  </si>
  <si>
    <t>SO 000_Â _</t>
  </si>
  <si>
    <t>SO 000_</t>
  </si>
  <si>
    <t>P</t>
  </si>
  <si>
    <t>2</t>
  </si>
  <si>
    <t>010002VRN</t>
  </si>
  <si>
    <t>1x chemický rozbor zeminy na obsah škodlivin</t>
  </si>
  <si>
    <t>3</t>
  </si>
  <si>
    <t>011002VRN</t>
  </si>
  <si>
    <t>Vytyčení stávajících inženýrských sítí ( plynovod STL, CETIN )</t>
  </si>
  <si>
    <t>4</t>
  </si>
  <si>
    <t>012002VRN</t>
  </si>
  <si>
    <t>Geodetické vytyčování stavby</t>
  </si>
  <si>
    <t>5</t>
  </si>
  <si>
    <t>012002.1.VRN</t>
  </si>
  <si>
    <t>Geodetické zaměření skutečného provedení stavby</t>
  </si>
  <si>
    <t>6</t>
  </si>
  <si>
    <t>013002VRN</t>
  </si>
  <si>
    <t>Dokumentace skutečného provedení stavby</t>
  </si>
  <si>
    <t>7</t>
  </si>
  <si>
    <t>013002.2.VRN</t>
  </si>
  <si>
    <t>Geometrický plán</t>
  </si>
  <si>
    <t>8</t>
  </si>
  <si>
    <t>062002VRN</t>
  </si>
  <si>
    <t>Projekt přechodného dopravního značení a dopravního zařízení</t>
  </si>
  <si>
    <t>9</t>
  </si>
  <si>
    <t>062002.1.VRN</t>
  </si>
  <si>
    <t>Přechodné dopravní značení a zařízení</t>
  </si>
  <si>
    <t>10</t>
  </si>
  <si>
    <t>Geodetické vytyčování stavby - dešťová kanalizace</t>
  </si>
  <si>
    <t>11</t>
  </si>
  <si>
    <t>Dokumentace skutečného provedení - dešťová kanalizace</t>
  </si>
  <si>
    <t>12</t>
  </si>
  <si>
    <t>Geodetické zaměření skutečného provedení - dešťová kanalizace</t>
  </si>
  <si>
    <t>13</t>
  </si>
  <si>
    <t>Vyhotovení geometrického plánu - dešťová kanalizace</t>
  </si>
  <si>
    <t>14</t>
  </si>
  <si>
    <t>059002VRN</t>
  </si>
  <si>
    <t>Fotodokumentace z průběhu stavby - dešťová kanalizace</t>
  </si>
  <si>
    <t>15</t>
  </si>
  <si>
    <t>Zhotovení geometrický plán - VO</t>
  </si>
  <si>
    <t>16</t>
  </si>
  <si>
    <t>Geodetické vytyčování stavby - VO</t>
  </si>
  <si>
    <t>17</t>
  </si>
  <si>
    <t>Geodetické zaměření skutečného provedení - VO</t>
  </si>
  <si>
    <t>18</t>
  </si>
  <si>
    <t>Dokumentace skutečného provedení - VO</t>
  </si>
  <si>
    <t>03VRN</t>
  </si>
  <si>
    <t>19</t>
  </si>
  <si>
    <t>030001VRN</t>
  </si>
  <si>
    <t>Zařízení staveniště - SO 101</t>
  </si>
  <si>
    <t>03VRN_</t>
  </si>
  <si>
    <t>20</t>
  </si>
  <si>
    <t>Zařízení staveniště - SO 301</t>
  </si>
  <si>
    <t>21</t>
  </si>
  <si>
    <t>Zařízení staveniště - SO 401</t>
  </si>
  <si>
    <t>Přípravné a přidružené práce</t>
  </si>
  <si>
    <t>22</t>
  </si>
  <si>
    <t>113151114R00</t>
  </si>
  <si>
    <t>Fréz.živič.krytu pl.do 500 m2, tl.5cm</t>
  </si>
  <si>
    <t>m2</t>
  </si>
  <si>
    <t>11_</t>
  </si>
  <si>
    <t>SO 101_1_</t>
  </si>
  <si>
    <t>SO 101_</t>
  </si>
  <si>
    <t>23</t>
  </si>
  <si>
    <t>113151150RV1</t>
  </si>
  <si>
    <t>Fréz.živič.krytu pl.do 500 m2, do tl.11cm</t>
  </si>
  <si>
    <t>136</t>
  </si>
  <si>
    <t>realizace rýhy pro vodovod</t>
  </si>
  <si>
    <t>106</t>
  </si>
  <si>
    <t>realizace silniční obruby</t>
  </si>
  <si>
    <t>24</t>
  </si>
  <si>
    <t>979081111R00</t>
  </si>
  <si>
    <t>Odvoz suti a vybour. hmot na skládku do 1 km</t>
  </si>
  <si>
    <t>t</t>
  </si>
  <si>
    <t>25</t>
  </si>
  <si>
    <t>979081121R00</t>
  </si>
  <si>
    <t>Příplatek k odvozu za každý další 1 km</t>
  </si>
  <si>
    <t>72,899*14</t>
  </si>
  <si>
    <t>26</t>
  </si>
  <si>
    <t>979999996R00</t>
  </si>
  <si>
    <t>Poplatek za recyklaci asfaltu,</t>
  </si>
  <si>
    <t>27</t>
  </si>
  <si>
    <t>113108410R00</t>
  </si>
  <si>
    <t>Odstranění asfaltové vrstvy pl.nad 50 m2, tl.10 cm</t>
  </si>
  <si>
    <t>154</t>
  </si>
  <si>
    <t>nezpev. krajnice asf. recyklát</t>
  </si>
  <si>
    <t>Odkopávky a prokopávky</t>
  </si>
  <si>
    <t>28</t>
  </si>
  <si>
    <t>121101101R00</t>
  </si>
  <si>
    <t>Sejmutí ornice s přemístěním do 50 m</t>
  </si>
  <si>
    <t>m3</t>
  </si>
  <si>
    <t>12_</t>
  </si>
  <si>
    <t>212*0,15</t>
  </si>
  <si>
    <t>29</t>
  </si>
  <si>
    <t>122102201R00</t>
  </si>
  <si>
    <t>Odkopávky pro silnice v hor. 2 do 100 m3</t>
  </si>
  <si>
    <t>72</t>
  </si>
  <si>
    <t>k úrovni pláně chodníku</t>
  </si>
  <si>
    <t>30</t>
  </si>
  <si>
    <t>132101110R00</t>
  </si>
  <si>
    <t>Hloubení rýh š.do 60 cm v hor.2 do 50 m3, STROJNĚ</t>
  </si>
  <si>
    <t>306*0,4*0,1</t>
  </si>
  <si>
    <t>lože beton. obrubníky</t>
  </si>
  <si>
    <t>31,5*0,3*0,1</t>
  </si>
  <si>
    <t>podsyp pod chodník, zahrad. obrubník</t>
  </si>
  <si>
    <t>11,2*0,3*0,45</t>
  </si>
  <si>
    <t>palisády</t>
  </si>
  <si>
    <t>4,3*0,3*0,3</t>
  </si>
  <si>
    <t>31</t>
  </si>
  <si>
    <t>162601102R00</t>
  </si>
  <si>
    <t>Vodorovné přemístění výkopku z hor.1-4 do 5000 m</t>
  </si>
  <si>
    <t>50</t>
  </si>
  <si>
    <t>z odkopávky k úrovni pláně chodníku</t>
  </si>
  <si>
    <t>15,084</t>
  </si>
  <si>
    <t>hloubení rýh</t>
  </si>
  <si>
    <t>31,8-6,3</t>
  </si>
  <si>
    <t>ornice</t>
  </si>
  <si>
    <t>32</t>
  </si>
  <si>
    <t>199000002R00</t>
  </si>
  <si>
    <t>Poplatek za skládku horniny 1- 4, č. dle katal. odpadů 17 05 04</t>
  </si>
  <si>
    <t>Povrchové úpravy terénu</t>
  </si>
  <si>
    <t>33</t>
  </si>
  <si>
    <t>181201102R00</t>
  </si>
  <si>
    <t>Úprava pláně v násypech v hor. 1-4, se zhutněním</t>
  </si>
  <si>
    <t>18_</t>
  </si>
  <si>
    <t>34</t>
  </si>
  <si>
    <t>181101102R00</t>
  </si>
  <si>
    <t>Úprava pláně v zářezech v hor. 1-4, se zhutněním</t>
  </si>
  <si>
    <t>35</t>
  </si>
  <si>
    <t>181301101R00</t>
  </si>
  <si>
    <t>Rozprostření ornice, rovina, tl. do 10 cm do 500m2</t>
  </si>
  <si>
    <t>36</t>
  </si>
  <si>
    <t>182301121R00</t>
  </si>
  <si>
    <t>Rozprostření ornice, svah, tl. do 10 cm, do 500 m2</t>
  </si>
  <si>
    <t>37</t>
  </si>
  <si>
    <t>180402111R00</t>
  </si>
  <si>
    <t>Založení trávníku parkového výsevem v rovině</t>
  </si>
  <si>
    <t>38</t>
  </si>
  <si>
    <t>180402113R00</t>
  </si>
  <si>
    <t>Založení trávníku parkového výsevem svah do 1:1</t>
  </si>
  <si>
    <t>39</t>
  </si>
  <si>
    <t>00572465</t>
  </si>
  <si>
    <t>Směs travní standard PROFI</t>
  </si>
  <si>
    <t>kg</t>
  </si>
  <si>
    <t>M</t>
  </si>
  <si>
    <t>Úprava podloží a základové spáry</t>
  </si>
  <si>
    <t>40</t>
  </si>
  <si>
    <t>212753114R00</t>
  </si>
  <si>
    <t>Montáž ohebné dren. trubky do rýhy DN 100,bez lože</t>
  </si>
  <si>
    <t>m</t>
  </si>
  <si>
    <t>21_</t>
  </si>
  <si>
    <t>SO 101_2_</t>
  </si>
  <si>
    <t>za palisádou</t>
  </si>
  <si>
    <t>41</t>
  </si>
  <si>
    <t>28611223.A</t>
  </si>
  <si>
    <t>Trubka PVC drenážní flexibilní d 100 mm</t>
  </si>
  <si>
    <t>17*1,1</t>
  </si>
  <si>
    <t>Sloupy a pilíře, stožáry a rámové stojky</t>
  </si>
  <si>
    <t>42</t>
  </si>
  <si>
    <t>330311811R00</t>
  </si>
  <si>
    <t>Beton sloupů a pilířů prostý C 25/30</t>
  </si>
  <si>
    <t>33_</t>
  </si>
  <si>
    <t>SO 101_3_</t>
  </si>
  <si>
    <t>(0,12*0,05*0,8)</t>
  </si>
  <si>
    <t>dobetonávka palisád</t>
  </si>
  <si>
    <t>(0,12*0,09*0,8)*4</t>
  </si>
  <si>
    <t>(0,12*0,07*0,5)</t>
  </si>
  <si>
    <t>43</t>
  </si>
  <si>
    <t>331351101R00</t>
  </si>
  <si>
    <t>Bednění sloupů čtyřúhelníkového průřezu - zřízení</t>
  </si>
  <si>
    <t>2*0,05*0,8</t>
  </si>
  <si>
    <t>8*0,09*0,8</t>
  </si>
  <si>
    <t>2*0,07*0,5</t>
  </si>
  <si>
    <t>44</t>
  </si>
  <si>
    <t>331351102R00</t>
  </si>
  <si>
    <t>Bednění sloupů čtyřúhelníkového průřezu - odstranění</t>
  </si>
  <si>
    <t>Komunikace</t>
  </si>
  <si>
    <t>45</t>
  </si>
  <si>
    <t>338920021R00</t>
  </si>
  <si>
    <t>Osazení betonové palisády, š. do 20 cm, dl. 60 cm</t>
  </si>
  <si>
    <t>5_</t>
  </si>
  <si>
    <t>SO 101_5_</t>
  </si>
  <si>
    <t>46</t>
  </si>
  <si>
    <t>338920022R00</t>
  </si>
  <si>
    <t>Osazení betonové palisády, š. do 20 cm, dl. 90 cm</t>
  </si>
  <si>
    <t>47</t>
  </si>
  <si>
    <t>5922. 0</t>
  </si>
  <si>
    <t>Palisáda přírodní  120 x 180 x 500 mm</t>
  </si>
  <si>
    <t>kus</t>
  </si>
  <si>
    <t>48</t>
  </si>
  <si>
    <t>5922. 1</t>
  </si>
  <si>
    <t>Palisáda přírodní  120 x 180 x 800 mm</t>
  </si>
  <si>
    <t>49</t>
  </si>
  <si>
    <t>564231111R00</t>
  </si>
  <si>
    <t>Podklad ze štěrkopísku po zhutnění tloušťky 10 cm</t>
  </si>
  <si>
    <t>31,5*0,3</t>
  </si>
  <si>
    <t>pod obrubníky</t>
  </si>
  <si>
    <t>564251111R00</t>
  </si>
  <si>
    <t>Podklad ze štěrkopísku po zhutnění tloušťky 15 cm</t>
  </si>
  <si>
    <t>60*0,6</t>
  </si>
  <si>
    <t>pod obrubníky chodníkové</t>
  </si>
  <si>
    <t>51</t>
  </si>
  <si>
    <t>564861111RT2</t>
  </si>
  <si>
    <t>Podklad ze štěrkodrti po zhutnění tloušťky 20 cm</t>
  </si>
  <si>
    <t>Varianta:</t>
  </si>
  <si>
    <t>štěrkodrť frakce 0-32 mm</t>
  </si>
  <si>
    <t>551,5</t>
  </si>
  <si>
    <t>-110</t>
  </si>
  <si>
    <t>odkopávka pro silnice</t>
  </si>
  <si>
    <t>52</t>
  </si>
  <si>
    <t>564861111RV1</t>
  </si>
  <si>
    <t>bez dodávky kameniva</t>
  </si>
  <si>
    <t>110</t>
  </si>
  <si>
    <t>53</t>
  </si>
  <si>
    <t>569531111R00</t>
  </si>
  <si>
    <t>Zpevnění krajnic prohozenou zeminou tl. 10 cm</t>
  </si>
  <si>
    <t>59</t>
  </si>
  <si>
    <t>Kryty pozemních komunikací,</t>
  </si>
  <si>
    <t>54</t>
  </si>
  <si>
    <t>577131111R00</t>
  </si>
  <si>
    <t>Beton asfalt. ACO 11+ obrusný, š. do 3 m, tl. 4 cm</t>
  </si>
  <si>
    <t>59_</t>
  </si>
  <si>
    <t>150,9</t>
  </si>
  <si>
    <t>2x tl. 4 cm - mezi říznutým okrajem a novým obrubníkem</t>
  </si>
  <si>
    <t>55</t>
  </si>
  <si>
    <t>596215021R00</t>
  </si>
  <si>
    <t>Kladení zámkové dlažby tl. 6 cm do drtě tl. 4 cm</t>
  </si>
  <si>
    <t>518,9</t>
  </si>
  <si>
    <t>šedá hladká</t>
  </si>
  <si>
    <t>5,7</t>
  </si>
  <si>
    <t>červená -reliéf pro nevidomé</t>
  </si>
  <si>
    <t>4,4</t>
  </si>
  <si>
    <t>slepecká přídlažba</t>
  </si>
  <si>
    <t>56</t>
  </si>
  <si>
    <t>596291111R00</t>
  </si>
  <si>
    <t>Řezání zámkové dlažby tl. 60 mm</t>
  </si>
  <si>
    <t>57</t>
  </si>
  <si>
    <t>596215040R00</t>
  </si>
  <si>
    <t>Kladení zámkové dlažby tl. 8 cm do drtě tl. 4 cm</t>
  </si>
  <si>
    <t>4,9</t>
  </si>
  <si>
    <t>červená slepecká relief</t>
  </si>
  <si>
    <t>58</t>
  </si>
  <si>
    <t>596291113R00</t>
  </si>
  <si>
    <t>Řezání zámkové dlažby tl. 80 mm</t>
  </si>
  <si>
    <t>596215061R00</t>
  </si>
  <si>
    <t>Kladení zámkové dlažby tl. 10 cm do drtě tl. 4 cm</t>
  </si>
  <si>
    <t>11,5</t>
  </si>
  <si>
    <t>šedá</t>
  </si>
  <si>
    <t>60</t>
  </si>
  <si>
    <t>596291115R00</t>
  </si>
  <si>
    <t>Řezání zámkové dlažby tl.100 mm</t>
  </si>
  <si>
    <t>61</t>
  </si>
  <si>
    <t>59245110</t>
  </si>
  <si>
    <t>Dlažba skladebná  200 x 100 x 60 mm přírodní</t>
  </si>
  <si>
    <t>518,9*1,02</t>
  </si>
  <si>
    <t>62</t>
  </si>
  <si>
    <t>59245</t>
  </si>
  <si>
    <t>Slepecká přídlažba 250 x 250 x 60 mm přírodní</t>
  </si>
  <si>
    <t>3,4*1,02</t>
  </si>
  <si>
    <t>(4,4+3)*1,02</t>
  </si>
  <si>
    <t>63</t>
  </si>
  <si>
    <t>592451151</t>
  </si>
  <si>
    <t>Dlažba skladebná  SPL pro nevidomé 200 x 100 x 60 mm červená</t>
  </si>
  <si>
    <t>8,5*1,02</t>
  </si>
  <si>
    <t>64</t>
  </si>
  <si>
    <t>592451158</t>
  </si>
  <si>
    <t>Dlažba skladebná  SLP pro nevidomé 200 x 100 x 80 mm červená</t>
  </si>
  <si>
    <t>4,9*1,02</t>
  </si>
  <si>
    <t>červená-reliéf pro nevidomé</t>
  </si>
  <si>
    <t>65</t>
  </si>
  <si>
    <t>592451178</t>
  </si>
  <si>
    <t>Dlažba skladebná  200 x 100 x 100 mm přírodní</t>
  </si>
  <si>
    <t>11,5*1,02</t>
  </si>
  <si>
    <t>66</t>
  </si>
  <si>
    <t>917932131R00</t>
  </si>
  <si>
    <t>Osazení betonové prefa přídlažby do lože z C20/25, tl. 8 cm</t>
  </si>
  <si>
    <t>67</t>
  </si>
  <si>
    <t>573231123R00</t>
  </si>
  <si>
    <t>Postřik spojovací z KAE, množství zbytkového asfaltu 0,3 kg/m2</t>
  </si>
  <si>
    <t>303*0,25</t>
  </si>
  <si>
    <t>Podlahy a podlahové konstrukce</t>
  </si>
  <si>
    <t>68</t>
  </si>
  <si>
    <t>631313511R00</t>
  </si>
  <si>
    <t>Mazanina betonová tl. 8 - 12 cm C 12/15</t>
  </si>
  <si>
    <t>63_</t>
  </si>
  <si>
    <t>SO 101_6_</t>
  </si>
  <si>
    <t>18,3</t>
  </si>
  <si>
    <t>podkladní vrstva pod sjezdy</t>
  </si>
  <si>
    <t>69</t>
  </si>
  <si>
    <t>631319153R00</t>
  </si>
  <si>
    <t>Příplatek za přehlaz. mazanin pod povlaky tl. 12cm</t>
  </si>
  <si>
    <t>70</t>
  </si>
  <si>
    <t>631351101R00</t>
  </si>
  <si>
    <t>Bednění stěn, rýh a otvorů  - zřízení</t>
  </si>
  <si>
    <t>17,9*0,2</t>
  </si>
  <si>
    <t>71</t>
  </si>
  <si>
    <t>631351102R00</t>
  </si>
  <si>
    <t>Bednění stěn, rýh a otvorů  -odstranění</t>
  </si>
  <si>
    <t>631315621R00</t>
  </si>
  <si>
    <t>Mazanina betonová tl. 12 - 24 cm C 20/25</t>
  </si>
  <si>
    <t>(303*0,25)*0,15</t>
  </si>
  <si>
    <t>mezi říznutým okrajem a novým obrubníkem</t>
  </si>
  <si>
    <t>73</t>
  </si>
  <si>
    <t>631319155R00</t>
  </si>
  <si>
    <t>Příplatek za přehlaz. mazanin pod povlaky tl. 24cm</t>
  </si>
  <si>
    <t>74</t>
  </si>
  <si>
    <t>639571210R00</t>
  </si>
  <si>
    <t>Kačírek pro okapový chodník tl. 100 mm, fr. 22/63</t>
  </si>
  <si>
    <t>3,4</t>
  </si>
  <si>
    <t>povrchová úprava kačírek</t>
  </si>
  <si>
    <t>91</t>
  </si>
  <si>
    <t>Doplňující konstrukce a práce na pozemních komunikacích a zpevněných plochách</t>
  </si>
  <si>
    <t>75</t>
  </si>
  <si>
    <t>919735113R00</t>
  </si>
  <si>
    <t>Řezání stávajícího živičného krytu tl. 10 - 15 cm</t>
  </si>
  <si>
    <t>91_</t>
  </si>
  <si>
    <t>SO 101_9_</t>
  </si>
  <si>
    <t>299</t>
  </si>
  <si>
    <t>303</t>
  </si>
  <si>
    <t>realizace silniční obruby po provedení vodovodu</t>
  </si>
  <si>
    <t>76</t>
  </si>
  <si>
    <t>917862111RT5</t>
  </si>
  <si>
    <t>Osazení stojatého obrubníku betonového, s boční opěrou, do lože z betonu C 16/20</t>
  </si>
  <si>
    <t>včetně obrubníku ABO 100/10/25</t>
  </si>
  <si>
    <t>77</t>
  </si>
  <si>
    <t>917862114RT7</t>
  </si>
  <si>
    <t>Osazení stojatého obrubníku betonového, s boční opěrou, do lože z betonu C 25/30</t>
  </si>
  <si>
    <t>včetně obrubníku 1000 x 150 x 250 mm</t>
  </si>
  <si>
    <t>78</t>
  </si>
  <si>
    <t>917862114RV4</t>
  </si>
  <si>
    <t>Osazení stojatého obrubníku betonového, s boční opěrou, do lože z betonu C 20/25</t>
  </si>
  <si>
    <t>včetně obrubníku nájezdového náběhového 1000 x 150 x 150-250 mm</t>
  </si>
  <si>
    <t>79</t>
  </si>
  <si>
    <t>917862114RV3</t>
  </si>
  <si>
    <t>včetně obrubníku nájezdového 1000 x 150 x 150 mm</t>
  </si>
  <si>
    <t>80</t>
  </si>
  <si>
    <t>916561111R00</t>
  </si>
  <si>
    <t>Osazení záhon.obrubníků do lože z C 16/20 s opěrou</t>
  </si>
  <si>
    <t>81</t>
  </si>
  <si>
    <t>59217335</t>
  </si>
  <si>
    <t>Obrubník zahradní ABO 10-20 v. 250 x 50 x 1000 mm šedý</t>
  </si>
  <si>
    <t>82</t>
  </si>
  <si>
    <t>914001121R00</t>
  </si>
  <si>
    <t>Osaz.svislé dopr.značky a sloupku,Al patka, základ</t>
  </si>
  <si>
    <t>značka P2 + dod. tabulka E2b - demontované vč. sloupku</t>
  </si>
  <si>
    <t>83</t>
  </si>
  <si>
    <t>914001127R00</t>
  </si>
  <si>
    <t>Osazení svislé dopr.značky na sloup veřej. osvětl.</t>
  </si>
  <si>
    <t>značka A 11 - demontovaná</t>
  </si>
  <si>
    <t>84</t>
  </si>
  <si>
    <t>40450231</t>
  </si>
  <si>
    <t>Dopravní příslušenství, patka hliníková</t>
  </si>
  <si>
    <t>85</t>
  </si>
  <si>
    <t>4044</t>
  </si>
  <si>
    <t>Patka betonová kotevní 30x30x60 cm,  C20/25</t>
  </si>
  <si>
    <t>86</t>
  </si>
  <si>
    <t>915712112RT1</t>
  </si>
  <si>
    <t>Vodorovné značení vodicích čar š. 25 cm silnovrstvé</t>
  </si>
  <si>
    <t>barva bílá</t>
  </si>
  <si>
    <t>314,5</t>
  </si>
  <si>
    <t>V4 čára souvislá</t>
  </si>
  <si>
    <t>87</t>
  </si>
  <si>
    <t>915712111RT1</t>
  </si>
  <si>
    <t>Vodorovné značení proužků š.25 cm střík.barvou</t>
  </si>
  <si>
    <t>4*1,5</t>
  </si>
  <si>
    <t>V2b čára přerušovaná</t>
  </si>
  <si>
    <t>88</t>
  </si>
  <si>
    <t>915711111RT1</t>
  </si>
  <si>
    <t>Vodorovné značení dělicích čar 12,5 cm střík.barvou</t>
  </si>
  <si>
    <t>2*3+1,5</t>
  </si>
  <si>
    <t>89</t>
  </si>
  <si>
    <t>915711112RT1</t>
  </si>
  <si>
    <t>Vodorovné značení dělicích čar š.12,5 cm silnovrstvé</t>
  </si>
  <si>
    <t>98</t>
  </si>
  <si>
    <t>V1a čára souvislá</t>
  </si>
  <si>
    <t>90</t>
  </si>
  <si>
    <t>9157. 1</t>
  </si>
  <si>
    <t>Odstranění starého vodorov. dopravního značení, streuktur. plast bílý, systém PEEL JET</t>
  </si>
  <si>
    <t>98*0,125</t>
  </si>
  <si>
    <t>V1a - podélná čára souvislá</t>
  </si>
  <si>
    <t>(2*0,3)*0,125</t>
  </si>
  <si>
    <t>V2b - podélná čára přerušovaná</t>
  </si>
  <si>
    <t>(4*1,5)*0,25</t>
  </si>
  <si>
    <t>19*0,25</t>
  </si>
  <si>
    <t>V4 - vodící čára souvislá</t>
  </si>
  <si>
    <t>96</t>
  </si>
  <si>
    <t>Bourání konstrukcí</t>
  </si>
  <si>
    <t>113106121R00</t>
  </si>
  <si>
    <t>Rozebrání dlažeb z betonových dlaždic na sucho</t>
  </si>
  <si>
    <t>96_</t>
  </si>
  <si>
    <t>92</t>
  </si>
  <si>
    <t>113202111R00</t>
  </si>
  <si>
    <t>Vytrhání obrub obrubníků silničních</t>
  </si>
  <si>
    <t>121</t>
  </si>
  <si>
    <t>obrubník silniční</t>
  </si>
  <si>
    <t>93</t>
  </si>
  <si>
    <t>113204111R00</t>
  </si>
  <si>
    <t>Vytrhání obrubníků zahradních</t>
  </si>
  <si>
    <t>94</t>
  </si>
  <si>
    <t>966005311R00</t>
  </si>
  <si>
    <t>Rozebrání silničního svodidla</t>
  </si>
  <si>
    <t>95</t>
  </si>
  <si>
    <t>966006132R00</t>
  </si>
  <si>
    <t>Odstranění doprav.značek se sloupky, s bet.patkami</t>
  </si>
  <si>
    <t>pro zpětné použití</t>
  </si>
  <si>
    <t>97</t>
  </si>
  <si>
    <t>78,827*15</t>
  </si>
  <si>
    <t>979094211R00</t>
  </si>
  <si>
    <t>Nakládání nebo překládání vybourané suti</t>
  </si>
  <si>
    <t>979999995R00</t>
  </si>
  <si>
    <t>Poplatek za recyklaci asfaltu,  (skup.170302)</t>
  </si>
  <si>
    <t>154*0,2200</t>
  </si>
  <si>
    <t>100</t>
  </si>
  <si>
    <t>979990107R00</t>
  </si>
  <si>
    <t>Poplatek za uložení suti</t>
  </si>
  <si>
    <t>78,827-33,88</t>
  </si>
  <si>
    <t>101</t>
  </si>
  <si>
    <t>460030081RT1</t>
  </si>
  <si>
    <t>Řezání spáry v asfaltu nebo betonu</t>
  </si>
  <si>
    <t>v tloušťce vrstvy do 5 cm, š= 12 mm,</t>
  </si>
  <si>
    <t>pro zálivku</t>
  </si>
  <si>
    <t>102</t>
  </si>
  <si>
    <t>919726213R00</t>
  </si>
  <si>
    <t>Těsnění spár krytu zálivkou za tepla</t>
  </si>
  <si>
    <t>Staveništní přesun hmot</t>
  </si>
  <si>
    <t>103</t>
  </si>
  <si>
    <t>998223011R00</t>
  </si>
  <si>
    <t>Přesun hmot, pozemní komunikace, kryt dlážděný</t>
  </si>
  <si>
    <t>99_</t>
  </si>
  <si>
    <t>711</t>
  </si>
  <si>
    <t>Izolace proti vodě</t>
  </si>
  <si>
    <t>104</t>
  </si>
  <si>
    <t>711823121RT1</t>
  </si>
  <si>
    <t>Montáž nopové fólie svisle</t>
  </si>
  <si>
    <t>711_</t>
  </si>
  <si>
    <t>SO 101_71_</t>
  </si>
  <si>
    <t>bez dodávky fólie</t>
  </si>
  <si>
    <t>vrstva za palisádou</t>
  </si>
  <si>
    <t>105</t>
  </si>
  <si>
    <t>28323142</t>
  </si>
  <si>
    <t>Fólie nopová PE-HD, s  geotextilií, výška nopů 8 mm</t>
  </si>
  <si>
    <t>8*1,15</t>
  </si>
  <si>
    <t>998711101R00</t>
  </si>
  <si>
    <t>Přesun hmot pro izolace proti vodě, výšky do 6 m</t>
  </si>
  <si>
    <t>107</t>
  </si>
  <si>
    <t>113108311R00</t>
  </si>
  <si>
    <t>Odstranění asfaltové vrstvy pl. do 50 m2, tl.11 cm</t>
  </si>
  <si>
    <t>SO 102_1_</t>
  </si>
  <si>
    <t>SO 102_</t>
  </si>
  <si>
    <t>0,6</t>
  </si>
  <si>
    <t>úprava protileh. přechodu pro chodce</t>
  </si>
  <si>
    <t>108</t>
  </si>
  <si>
    <t>SO 102_5_</t>
  </si>
  <si>
    <t>109</t>
  </si>
  <si>
    <t>1,1</t>
  </si>
  <si>
    <t>2,8</t>
  </si>
  <si>
    <t>1,5</t>
  </si>
  <si>
    <t>1,1*1,02</t>
  </si>
  <si>
    <t>111</t>
  </si>
  <si>
    <t>2,8*1,02</t>
  </si>
  <si>
    <t>112</t>
  </si>
  <si>
    <t>1,5*1,02</t>
  </si>
  <si>
    <t>113</t>
  </si>
  <si>
    <t>114</t>
  </si>
  <si>
    <t>915712211RT1</t>
  </si>
  <si>
    <t>Vodorovné značení stříkanou barvou pruhů š. 50 cm</t>
  </si>
  <si>
    <t>SO 102_9_</t>
  </si>
  <si>
    <t>1,225*23</t>
  </si>
  <si>
    <t>V7 přechod pro chodce</t>
  </si>
  <si>
    <t>115</t>
  </si>
  <si>
    <t>915712212RT1</t>
  </si>
  <si>
    <t>Vodorovné značení silnovrstvé pruhů š. 30 cm</t>
  </si>
  <si>
    <t>12,25*4</t>
  </si>
  <si>
    <t>vodící pás přechodu</t>
  </si>
  <si>
    <t>116</t>
  </si>
  <si>
    <t>117</t>
  </si>
  <si>
    <t>118</t>
  </si>
  <si>
    <t>119</t>
  </si>
  <si>
    <t>120</t>
  </si>
  <si>
    <t>917932121RT2</t>
  </si>
  <si>
    <t>Osazení betonové prefa přídlažby do lože z C16/20</t>
  </si>
  <si>
    <t>včetně dodávky silniční přídlažby</t>
  </si>
  <si>
    <t>(3*0,5)*12</t>
  </si>
  <si>
    <t>V7 - přechod pro chodce</t>
  </si>
  <si>
    <t>122</t>
  </si>
  <si>
    <t>3,5</t>
  </si>
  <si>
    <t>silniční přídlažba</t>
  </si>
  <si>
    <t>123</t>
  </si>
  <si>
    <t>124</t>
  </si>
  <si>
    <t>125</t>
  </si>
  <si>
    <t>126</t>
  </si>
  <si>
    <t>3,115*15</t>
  </si>
  <si>
    <t>127</t>
  </si>
  <si>
    <t>0,6*0,22</t>
  </si>
  <si>
    <t>128</t>
  </si>
  <si>
    <t>3,115-0,132</t>
  </si>
  <si>
    <t>129</t>
  </si>
  <si>
    <t>Hloubené vykopávky</t>
  </si>
  <si>
    <t>130</t>
  </si>
  <si>
    <t>13_</t>
  </si>
  <si>
    <t>SO 201_1_</t>
  </si>
  <si>
    <t>SO 201_</t>
  </si>
  <si>
    <t>(2,7*0,4*0,3)*3</t>
  </si>
  <si>
    <t>drenážní tyčové potrubí</t>
  </si>
  <si>
    <t>131</t>
  </si>
  <si>
    <t>132101212R00</t>
  </si>
  <si>
    <t>Hloubení rýh š.do 200 cm hor.2 do 1000 m3,STROJNĚ</t>
  </si>
  <si>
    <t>100,1*1,2*1,17</t>
  </si>
  <si>
    <t>132</t>
  </si>
  <si>
    <t>151101101R00</t>
  </si>
  <si>
    <t>Pažení a rozepření stěn rýh - příložné - hl.do 2 m</t>
  </si>
  <si>
    <t>100,1*1,2*2</t>
  </si>
  <si>
    <t>133</t>
  </si>
  <si>
    <t>151101111R00</t>
  </si>
  <si>
    <t>Odstranění pažení stěn rýh - příložné - hl. do 2 m</t>
  </si>
  <si>
    <t>134</t>
  </si>
  <si>
    <t>174101102R00</t>
  </si>
  <si>
    <t>Zásyp ruční se zhutněním</t>
  </si>
  <si>
    <t>(2,7*0,2*0,3)*3</t>
  </si>
  <si>
    <t>drenáž tyčová</t>
  </si>
  <si>
    <t>135</t>
  </si>
  <si>
    <t>174101101R00</t>
  </si>
  <si>
    <t>Zásyp jam, rýh, šachet se zhutněním</t>
  </si>
  <si>
    <t>38,5</t>
  </si>
  <si>
    <t>za rub. lícem stěny</t>
  </si>
  <si>
    <t>před opěrnou stěnou</t>
  </si>
  <si>
    <t>0,972+140,54-0,486-51,5</t>
  </si>
  <si>
    <t>137</t>
  </si>
  <si>
    <t>138</t>
  </si>
  <si>
    <t>139</t>
  </si>
  <si>
    <t>140</t>
  </si>
  <si>
    <t>141</t>
  </si>
  <si>
    <t>SO 201_2_</t>
  </si>
  <si>
    <t>101,6</t>
  </si>
  <si>
    <t>za opěr. stěnou</t>
  </si>
  <si>
    <t>142</t>
  </si>
  <si>
    <t>101,6*1,1</t>
  </si>
  <si>
    <t>143</t>
  </si>
  <si>
    <t>212753214R00</t>
  </si>
  <si>
    <t>Montáž tuhé drenáž. trubky do rýhy DN 100,bez lože</t>
  </si>
  <si>
    <t>3*2,7</t>
  </si>
  <si>
    <t>144</t>
  </si>
  <si>
    <t>28611215</t>
  </si>
  <si>
    <t>Trubka drenážní tyčová perforovaná  DN100</t>
  </si>
  <si>
    <t>145</t>
  </si>
  <si>
    <t>212572111R00</t>
  </si>
  <si>
    <t>Lože trativodu ze štěrkopísku tříděného fr. 8/16 mm</t>
  </si>
  <si>
    <t>drenáž flexib.</t>
  </si>
  <si>
    <t>146</t>
  </si>
  <si>
    <t>212971110R00</t>
  </si>
  <si>
    <t>Opláštění trativodů z geotext., do sklonu 1:2,5</t>
  </si>
  <si>
    <t>147</t>
  </si>
  <si>
    <t>69366198</t>
  </si>
  <si>
    <t>Geotextilie netkaná  300 g/m2</t>
  </si>
  <si>
    <t>98,1*1,2</t>
  </si>
  <si>
    <t>Základy</t>
  </si>
  <si>
    <t>148</t>
  </si>
  <si>
    <t>274313511R00</t>
  </si>
  <si>
    <t>Beton základových pasů prostý C 12/15</t>
  </si>
  <si>
    <t>27_</t>
  </si>
  <si>
    <t>100,1*0,7*0,15</t>
  </si>
  <si>
    <t>149</t>
  </si>
  <si>
    <t>274351215R00</t>
  </si>
  <si>
    <t>Bednění stěn základových pasů - zřízení</t>
  </si>
  <si>
    <t>(2*100,1+2*0,7)*0,15</t>
  </si>
  <si>
    <t>150</t>
  </si>
  <si>
    <t>274351216R00</t>
  </si>
  <si>
    <t>Bednění stěn základových pasů - odstranění</t>
  </si>
  <si>
    <t>151</t>
  </si>
  <si>
    <t>274361921RT5</t>
  </si>
  <si>
    <t>Výztuž základových pasů ze svařovaných sítí</t>
  </si>
  <si>
    <t>KH 20, drát d 6,0 mm, oko 150 x 150 mm</t>
  </si>
  <si>
    <t>100,1*0,15*3,301*0,001*1,2</t>
  </si>
  <si>
    <t>152</t>
  </si>
  <si>
    <t>271531114R00</t>
  </si>
  <si>
    <t>Polštář základu z kameniva drceného - štěrkopísel</t>
  </si>
  <si>
    <t>100,1*1,2*0,6</t>
  </si>
  <si>
    <t>pod opěrnou stěnu</t>
  </si>
  <si>
    <t>Zdi přehradní a opěrné</t>
  </si>
  <si>
    <t>153</t>
  </si>
  <si>
    <t>59384002</t>
  </si>
  <si>
    <t>Železobetonová zeď úhlová přímá  v= 100 cm, hl= 60 cm, š= 50 cm, viz. výkres č. D.2.2</t>
  </si>
  <si>
    <t>32_</t>
  </si>
  <si>
    <t>SO 201_3_</t>
  </si>
  <si>
    <t>349121000R00</t>
  </si>
  <si>
    <t>Montáž prefa. drobné architektury do 0,2 t</t>
  </si>
  <si>
    <t>155</t>
  </si>
  <si>
    <t>953981201R00</t>
  </si>
  <si>
    <t>Chemické kotvy, beton, hl. 80 mm, M8, malta 2složk</t>
  </si>
  <si>
    <t>(192+7)*2</t>
  </si>
  <si>
    <t>spojení dílců opěr. stěny</t>
  </si>
  <si>
    <t>156</t>
  </si>
  <si>
    <t>35441120</t>
  </si>
  <si>
    <t>Pásek uzemňovací pozinkovaný 30 x 4 mm</t>
  </si>
  <si>
    <t>192*0,2*1,05</t>
  </si>
  <si>
    <t>příložka dl. 200 mm</t>
  </si>
  <si>
    <t>7*0,225*1,05</t>
  </si>
  <si>
    <t>příložka dl. 225 mm</t>
  </si>
  <si>
    <t>157</t>
  </si>
  <si>
    <t>771578014RT5</t>
  </si>
  <si>
    <t>Spára dilatační těsněná PE provazcem a silikonem</t>
  </si>
  <si>
    <t>provazec průměru 15 mm</t>
  </si>
  <si>
    <t>0,8*7</t>
  </si>
  <si>
    <t>158</t>
  </si>
  <si>
    <t>970051130R00</t>
  </si>
  <si>
    <t>Vrtání jádrové do ŽB do D 130 mm</t>
  </si>
  <si>
    <t>0,1*3</t>
  </si>
  <si>
    <t>do opěr. stěny</t>
  </si>
  <si>
    <t>159</t>
  </si>
  <si>
    <t>58380120.A</t>
  </si>
  <si>
    <t>Kostka dlažební žulová štípaná, drobná 80 až 100 mm, třída I</t>
  </si>
  <si>
    <t>SO 201_5_</t>
  </si>
  <si>
    <t>0,48*1,2</t>
  </si>
  <si>
    <t>160</t>
  </si>
  <si>
    <t>591241111RV2</t>
  </si>
  <si>
    <t>Kladení dlažby drobné kostky, lože z betonu C25/30,  tl. 10 cm</t>
  </si>
  <si>
    <t>(0,4*0,4)*3</t>
  </si>
  <si>
    <t>vyústění drenáží</t>
  </si>
  <si>
    <t>161</t>
  </si>
  <si>
    <t>998152121R00</t>
  </si>
  <si>
    <t>Přesun hmot, oplocení, zvláštní obj. monol. do 3 m</t>
  </si>
  <si>
    <t>SO 201_9_</t>
  </si>
  <si>
    <t>162</t>
  </si>
  <si>
    <t>SO 201_71_</t>
  </si>
  <si>
    <t>rubová strana opěr. stěny</t>
  </si>
  <si>
    <t>163</t>
  </si>
  <si>
    <t>70*1,15</t>
  </si>
  <si>
    <t>164</t>
  </si>
  <si>
    <t>711212001R00</t>
  </si>
  <si>
    <t>Nátěr hydroizolační, vč. dodávky adhezní hmoty</t>
  </si>
  <si>
    <t>(0,8*0,02)*2*7</t>
  </si>
  <si>
    <t>těsnění dilatč. spáry</t>
  </si>
  <si>
    <t>165</t>
  </si>
  <si>
    <t>767</t>
  </si>
  <si>
    <t>Konstrukce doplňkové stavební (zámečnické)</t>
  </si>
  <si>
    <t>166</t>
  </si>
  <si>
    <t>767951113R00</t>
  </si>
  <si>
    <t>Pozinkování ocelových výrobků, hmotnost dílů od 50 do 100 kg</t>
  </si>
  <si>
    <t>767_</t>
  </si>
  <si>
    <t>SO 201_76_</t>
  </si>
  <si>
    <t>844,77</t>
  </si>
  <si>
    <t>ocel. zábradlí, viz. PD</t>
  </si>
  <si>
    <t>167</t>
  </si>
  <si>
    <t>7679. 1</t>
  </si>
  <si>
    <t>Výroba, dodávka  a montáž kov. atypických konstr. zábradlí, viz. PD</t>
  </si>
  <si>
    <t>168</t>
  </si>
  <si>
    <t>953981203R00</t>
  </si>
  <si>
    <t>Chemické kotvy, beton, hl.110 mm, M12, malta 2slož</t>
  </si>
  <si>
    <t>184</t>
  </si>
  <si>
    <t>kotvení zábradlí</t>
  </si>
  <si>
    <t>169</t>
  </si>
  <si>
    <t>998767101R00</t>
  </si>
  <si>
    <t>Přesun hmot pro zámečnické konstr., výšky do 6 m</t>
  </si>
  <si>
    <t>170</t>
  </si>
  <si>
    <t>131101110R00</t>
  </si>
  <si>
    <t>Hloubení nezapaž. jam hor.2 do 50 m3, STROJNĚ</t>
  </si>
  <si>
    <t>SO 202_1_</t>
  </si>
  <si>
    <t>SO 202_</t>
  </si>
  <si>
    <t>(0,9*0,9*0,5)*8</t>
  </si>
  <si>
    <t>nadzemní patky</t>
  </si>
  <si>
    <t>171</t>
  </si>
  <si>
    <t>133110012RV2</t>
  </si>
  <si>
    <t>Hloubení šachet zemním vrtákem v hornině 1 - 2, průměr do 300 mm, hloubka 600 mm</t>
  </si>
  <si>
    <t>základ. patka hl. 600 mm</t>
  </si>
  <si>
    <t>172</t>
  </si>
  <si>
    <t>133110012RV3</t>
  </si>
  <si>
    <t>Hloubení šachet zemním vrtákem v hornině 1 - 2, průměr do 300 mm, hloubka 900 mm</t>
  </si>
  <si>
    <t>základ. patka hl. 900 mm</t>
  </si>
  <si>
    <t>173</t>
  </si>
  <si>
    <t>0,38*8</t>
  </si>
  <si>
    <t>174</t>
  </si>
  <si>
    <t>3,24+0,187+0,169</t>
  </si>
  <si>
    <t>-3,04</t>
  </si>
  <si>
    <t>175</t>
  </si>
  <si>
    <t>176</t>
  </si>
  <si>
    <t>275321211R00</t>
  </si>
  <si>
    <t>Železobeton základových patek C 12/15</t>
  </si>
  <si>
    <t>SO 202_2_</t>
  </si>
  <si>
    <t>(0,9*0,9*0,6)*5</t>
  </si>
  <si>
    <t>(0,9*0,9*0,9)*3</t>
  </si>
  <si>
    <t>177</t>
  </si>
  <si>
    <t>275361214R00</t>
  </si>
  <si>
    <t>Výztuž základových patek do 12 mm z oceli B500B (10505)</t>
  </si>
  <si>
    <t>21,77*0,001</t>
  </si>
  <si>
    <t>178</t>
  </si>
  <si>
    <t>275313711R00</t>
  </si>
  <si>
    <t>Beton základových patek prostý C 25/30</t>
  </si>
  <si>
    <t>(0,25*0,25*0,9)*5</t>
  </si>
  <si>
    <t>(0,25*0,25*0,6)*3</t>
  </si>
  <si>
    <t>179</t>
  </si>
  <si>
    <t>275351215R00</t>
  </si>
  <si>
    <t>Bednění stěn základových patek - zřízení</t>
  </si>
  <si>
    <t>(0,25*4)*0,9*5</t>
  </si>
  <si>
    <t>(0,25*4)*0,6*3</t>
  </si>
  <si>
    <t>180</t>
  </si>
  <si>
    <t>275351216R00</t>
  </si>
  <si>
    <t>Bednění stěn základových patek - odstranění</t>
  </si>
  <si>
    <t>Různé dokončovací konstrukce a práce na pozemních stavbách</t>
  </si>
  <si>
    <t>181</t>
  </si>
  <si>
    <t>338171111R00</t>
  </si>
  <si>
    <t>Osazení sloupků plot.oc.do 2 m do patek,</t>
  </si>
  <si>
    <t>95_</t>
  </si>
  <si>
    <t>SO 202_9_</t>
  </si>
  <si>
    <t>182</t>
  </si>
  <si>
    <t>5534. 3</t>
  </si>
  <si>
    <t>Sloupek plotový  d 48x2 mm, dl. 160 cm, Zn + PVC, plastová zátka</t>
  </si>
  <si>
    <t>183</t>
  </si>
  <si>
    <t>4*8</t>
  </si>
  <si>
    <t>typové patky</t>
  </si>
  <si>
    <t>4*5</t>
  </si>
  <si>
    <t>atypické patky</t>
  </si>
  <si>
    <t>553. 1</t>
  </si>
  <si>
    <t>Patka na sloupek plotový  d 48 mm,  10x10 cm, Zn + PVC barva zelená</t>
  </si>
  <si>
    <t>185</t>
  </si>
  <si>
    <t>553. 2</t>
  </si>
  <si>
    <t>Atypická patka na opěrné stěně pro sloupek plotový  d 48 mm,   Zn + nátěr ( viz. PD v.č.  D.1.10 )</t>
  </si>
  <si>
    <t>186</t>
  </si>
  <si>
    <t>767914130R00</t>
  </si>
  <si>
    <t>Montáž oplocení rámového H do 2,0 m</t>
  </si>
  <si>
    <t>187</t>
  </si>
  <si>
    <t>3132. 1</t>
  </si>
  <si>
    <t>Plotový panel 3D, v= 153 cm, délka 250 cm, drát 5 mm, úprava Zn + PVC zelená barva</t>
  </si>
  <si>
    <t>ks</t>
  </si>
  <si>
    <t>188</t>
  </si>
  <si>
    <t>3132. 2</t>
  </si>
  <si>
    <t>Atyp plotový panel 3D, v= 153 cm, délka 150 cm, drát 5 mm, úprava Zn + PVC zelená barva</t>
  </si>
  <si>
    <t>189</t>
  </si>
  <si>
    <t>3132. 3</t>
  </si>
  <si>
    <t>Atyp plotový panel 3D, v= 153 cm, délka  90 cm, drát 5 mm, úprava Zn + PVC zelená barva</t>
  </si>
  <si>
    <t>190</t>
  </si>
  <si>
    <t>Přesun hmot, oplocení, zvláštní obj.  do 3 m</t>
  </si>
  <si>
    <t>191</t>
  </si>
  <si>
    <t>113107513R00</t>
  </si>
  <si>
    <t>Odstranění podkladů nebo krytů z kameniva hrubého drceného, v ploše jednotlivě do 50 m2, tloušťka vrstvy 130 mm</t>
  </si>
  <si>
    <t>SO 301_1_</t>
  </si>
  <si>
    <t>SO 301_</t>
  </si>
  <si>
    <t>192</t>
  </si>
  <si>
    <t>113107525R00</t>
  </si>
  <si>
    <t>Odstranění podkladů nebo krytů z kameniva hrubého drceného, v ploše jednotlivě do 50 m2, tloušťka vrstvy 250 mm</t>
  </si>
  <si>
    <t>193</t>
  </si>
  <si>
    <t>113108315R00</t>
  </si>
  <si>
    <t>Odstranění podkladů nebo krytů živičných, v ploše jednotlivě do 50 m2, tloušťka vrstvy 150 mm</t>
  </si>
  <si>
    <t>194</t>
  </si>
  <si>
    <t>130901121R00</t>
  </si>
  <si>
    <t>Bourání konstrukcí v hloubených vykopávkách z betonu z betonu, prostého, pneumatickým kladivem</t>
  </si>
  <si>
    <t>s přemístěním suti na hromady na vzdálenost do 20 m nebo s uložením na dopravní prostředek,</t>
  </si>
  <si>
    <t>1,57*0,065*1,2*3</t>
  </si>
  <si>
    <t>uliční vpusti</t>
  </si>
  <si>
    <t>195</t>
  </si>
  <si>
    <t>131201201R00</t>
  </si>
  <si>
    <t>Hloubení zapažených jam a zářezů do 100 m3, v hornině 3, převážně ručně</t>
  </si>
  <si>
    <t>s urovnáním dna do předepsaného profilu a spádu, s případně nutným přemístěním výkopku ve výkopišti a dále buď s přemístěním výkopku na přilehlém terénu na vzdálenost do 3 m od kraje jámy nebo s naložením na dopravní prostředek</t>
  </si>
  <si>
    <t>13,11205*0,3</t>
  </si>
  <si>
    <t>30%</t>
  </si>
  <si>
    <t xml:space="preserve"> -0,53*4,0</t>
  </si>
  <si>
    <t>silnice</t>
  </si>
  <si>
    <t>196</t>
  </si>
  <si>
    <t>131301201R00</t>
  </si>
  <si>
    <t>Hloubení zapažených jam a zářezů do 100 m3, v hornině 4, převážně ručně</t>
  </si>
  <si>
    <t>1,63*0,815*0,91*3</t>
  </si>
  <si>
    <t>0,43*0,815*0,91*3</t>
  </si>
  <si>
    <t>1,63*1,63*1,07*3</t>
  </si>
  <si>
    <t>-3,93361</t>
  </si>
  <si>
    <t>hornina 3</t>
  </si>
  <si>
    <t xml:space="preserve"> -2,62241</t>
  </si>
  <si>
    <t>hornina 5</t>
  </si>
  <si>
    <t>197</t>
  </si>
  <si>
    <t>131401201R00</t>
  </si>
  <si>
    <t>Hloubení zapažených jam a zářezů do 100 m3, v hornině 5, převážně ručně</t>
  </si>
  <si>
    <t>13,11205*0,2</t>
  </si>
  <si>
    <t>20%</t>
  </si>
  <si>
    <t>198</t>
  </si>
  <si>
    <t>132201210R00</t>
  </si>
  <si>
    <t>Hloubení rýh šířky přes 60 do 200 cm do 50 m3, v hornině 3, hloubení strojně</t>
  </si>
  <si>
    <t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t>
  </si>
  <si>
    <t xml:space="preserve"> 8,0130*0,3</t>
  </si>
  <si>
    <t>199</t>
  </si>
  <si>
    <t>132301210R00</t>
  </si>
  <si>
    <t>Hloubení rýh šířky přes 60 do 200 cm do 50 m3, v hornině 4, hloubení strojně</t>
  </si>
  <si>
    <t>1,2*(1,01+1,06)/2*2,0</t>
  </si>
  <si>
    <t>1,2*(1,01+1,06)/2*2,5</t>
  </si>
  <si>
    <t>1,2*(1,01+1,01)/2*2,0</t>
  </si>
  <si>
    <t xml:space="preserve"> -2,40390</t>
  </si>
  <si>
    <t xml:space="preserve"> -1,60260</t>
  </si>
  <si>
    <t>200</t>
  </si>
  <si>
    <t>132401211R00</t>
  </si>
  <si>
    <t>Hloubení rýh šířky přes 60 do 200 cm jakékoliv množství, v hornině 5, hloubení strojně</t>
  </si>
  <si>
    <t xml:space="preserve"> 8,013*0,2</t>
  </si>
  <si>
    <t>0,42250</t>
  </si>
  <si>
    <t>dolamování</t>
  </si>
  <si>
    <t>201</t>
  </si>
  <si>
    <t>138401201R00</t>
  </si>
  <si>
    <t>Dolamování hloubených vykopávek rýh ve vrstvě tloušťky do 500 mm  v hornině 5</t>
  </si>
  <si>
    <t>zapažených i nezapažených v hornině tř. 5 - 7 s případným nutným přemístěním výkopku ve výkopišti, bez naložení, s přehozením výkopku na přilehlém terénu na vzdálenost do 3 m od okraje jámy nebo zářezu, nebo do 5 m od osy rýhy, nebo do 5 m od hrany šachty.</t>
  </si>
  <si>
    <t>(2,62241+1,60260)*0,1</t>
  </si>
  <si>
    <t>202</t>
  </si>
  <si>
    <t>Zřízení pažení a rozepření stěn rýh příložné  pro jakoukoliv mezerovitost, hloubky do 2 m</t>
  </si>
  <si>
    <t>pro podzemní vedení pro všechny šířky rýhy,</t>
  </si>
  <si>
    <t>1,63*1,98*2*3</t>
  </si>
  <si>
    <t>203</t>
  </si>
  <si>
    <t>Odstranění pažení a rozepření rýh příložné , hloubky do 2 m</t>
  </si>
  <si>
    <t>204</t>
  </si>
  <si>
    <t>161101101R00</t>
  </si>
  <si>
    <t>Svislé přemístění výkopku z horniny 1 až 4, při hloubce výkopu přes 1 do 2,5 m</t>
  </si>
  <si>
    <t>bez naložení do dopravní nádoby, ale s vyprázdněním dopravní nádoby na hromadu nebo na dopravní prostředek,</t>
  </si>
  <si>
    <t>2,40390+4,00650</t>
  </si>
  <si>
    <t>1,81361+6,55603</t>
  </si>
  <si>
    <t>205</t>
  </si>
  <si>
    <t>161101151R00</t>
  </si>
  <si>
    <t>Svislé přemístění výkopku z horniny 5 až 7, při hloubce výkopu přes 1 do 2,5 m</t>
  </si>
  <si>
    <t>0,36738</t>
  </si>
  <si>
    <t>2,02510+0,42250</t>
  </si>
  <si>
    <t>2,62241</t>
  </si>
  <si>
    <t>206</t>
  </si>
  <si>
    <t>162401102R00</t>
  </si>
  <si>
    <t>Vodorovné přemístění výkopku z horniny 1 až 4, na vzdálenost přes 1 500  do 2 000 m</t>
  </si>
  <si>
    <t>po suchu, bez naložení výkopku, avšak se složením bez rozhrnutí, zpáteční cesta vozidla.</t>
  </si>
  <si>
    <t>13,62877*2</t>
  </si>
  <si>
    <t>meziskládka</t>
  </si>
  <si>
    <t>207</t>
  </si>
  <si>
    <t>Vodorovné přemístění výkopku z horniny 1 až 4, na vzdálenost přes 4 000  do 5 000 m</t>
  </si>
  <si>
    <t>1,2*0,56*6,5</t>
  </si>
  <si>
    <t>0,312*1,98*3</t>
  </si>
  <si>
    <t>-5,07001</t>
  </si>
  <si>
    <t>208</t>
  </si>
  <si>
    <t>162601152R00</t>
  </si>
  <si>
    <t>Vodorovné přemístění výkopku z horniny 5 až 7, na vzdálenost přes 4 000  do 5 000 m</t>
  </si>
  <si>
    <t>2,62241+2,02510+0,42250</t>
  </si>
  <si>
    <t>209</t>
  </si>
  <si>
    <t>167101101R00</t>
  </si>
  <si>
    <t>Nakládání, skládání, překládání neulehlého výkopku nakládání výkopku do 100 m3, z horniny 1 až 4</t>
  </si>
  <si>
    <t xml:space="preserve"> 13,62877</t>
  </si>
  <si>
    <t>210</t>
  </si>
  <si>
    <t>171201101R00</t>
  </si>
  <si>
    <t>Uložení sypaniny do násypů nezhutněných</t>
  </si>
  <si>
    <t>Uložení sypaniny do násypů nebo na skládku s rozprostřením sypaniny ve vrstvách a s hrubým urovnáním.</t>
  </si>
  <si>
    <t>1,15127+5,07001</t>
  </si>
  <si>
    <t>211</t>
  </si>
  <si>
    <t>Zásyp sypaninou se zhutněním jam, šachet, rýh nebo kolem objektů v těchto vykopávkách</t>
  </si>
  <si>
    <t>z jakékoliv horniny s uložením výkopku po vrstvách,</t>
  </si>
  <si>
    <t>-1,15127-5,07001</t>
  </si>
  <si>
    <t>2,40390+4,00650+2,02510+0,42250</t>
  </si>
  <si>
    <t>1,81361+6,55603+2,62241</t>
  </si>
  <si>
    <t>212</t>
  </si>
  <si>
    <t>175101101R00</t>
  </si>
  <si>
    <t>Obsyp potrubí bez prohození sypaniny, bez dodávky obsypového materiálu</t>
  </si>
  <si>
    <t>sypaninou z vhodných hornin tř. 1 - 4 nebo materiálem připraveným podél výkopu ve vzdálenosti do 3 m od jeho kraje, pro jakoukoliv hloubku výkopu a jakoukoliv míru zhutnění,</t>
  </si>
  <si>
    <t>((1,2*0,46)-0,0201)*6,5</t>
  </si>
  <si>
    <t>213</t>
  </si>
  <si>
    <t>Poplatky za skládku horniny 1- 4, skupina 17 05 04 z Katalogu odpadů</t>
  </si>
  <si>
    <t>214</t>
  </si>
  <si>
    <t>199000003R00</t>
  </si>
  <si>
    <t>Poplatky za skládku horniny 5 - 7, skupina 17 05 04 z Katalogu odpadů</t>
  </si>
  <si>
    <t>215</t>
  </si>
  <si>
    <t>583322202</t>
  </si>
  <si>
    <t>Kamenivo nestanovené těžené; frakce 0,0 až 22,0 mm</t>
  </si>
  <si>
    <t>3,45735*1,01*1,7</t>
  </si>
  <si>
    <t>Podkladní a vedlejší konstrukce (kromě vozovek a železničního svršku)</t>
  </si>
  <si>
    <t>216</t>
  </si>
  <si>
    <t>451573111R00</t>
  </si>
  <si>
    <t>Lože pod potrubí, stoky a drobné objekty z písku a štěrkopísku  do 65 mm</t>
  </si>
  <si>
    <t>45_</t>
  </si>
  <si>
    <t>SO 301_4_</t>
  </si>
  <si>
    <t>2,09*0,1*3</t>
  </si>
  <si>
    <t>1,2*0,1*6,5</t>
  </si>
  <si>
    <t>217</t>
  </si>
  <si>
    <t>564871111RT4</t>
  </si>
  <si>
    <t>Podklad ze štěrkodrti s rozprostřením a zhutněním frakce 0-63 mm, tloušťka po zhutnění 250 mm</t>
  </si>
  <si>
    <t>SO 301_5_</t>
  </si>
  <si>
    <t>218</t>
  </si>
  <si>
    <t>565131111R00</t>
  </si>
  <si>
    <t>Podklad z kameniva obaleného asfaltem ACP 16+, v pruhu šířky do 3 m, třídy 1, tloušťka po zhutnění 50 mm</t>
  </si>
  <si>
    <t>s rozprostřením a zhutněním</t>
  </si>
  <si>
    <t>219</t>
  </si>
  <si>
    <t>567122112R00</t>
  </si>
  <si>
    <t>Podklad z kameniva zpevněného cementem SC C8/10, tloušťka po zhutnění 130 mm</t>
  </si>
  <si>
    <t>bez dilatačních spár, s rozprostřením a zhutněním, ošetřením povrchu podkladu vodou</t>
  </si>
  <si>
    <t>220</t>
  </si>
  <si>
    <t>568212111R00</t>
  </si>
  <si>
    <t>Vyztužení podkladní vrstvy z geomříže, asfaltového povrchu,</t>
  </si>
  <si>
    <t>Upevnění počátku geomříže hřebíky s podložkou a pokládka geomříže. Bez dodávky materiálu.</t>
  </si>
  <si>
    <t>221</t>
  </si>
  <si>
    <t>573111124R00</t>
  </si>
  <si>
    <t>Postřik živičný infiltrační s posypem kamenivem množství zbytkového asfaltu 1,00 kg/m2</t>
  </si>
  <si>
    <t>222</t>
  </si>
  <si>
    <t>573231145R00</t>
  </si>
  <si>
    <t>Postřik živičný spojovací bez posypu kamenivem modifikovanou, množství zbytkového asfaltu 0,50 kg/m2</t>
  </si>
  <si>
    <t>4,0+4,0</t>
  </si>
  <si>
    <t>223</t>
  </si>
  <si>
    <t>577141112R00</t>
  </si>
  <si>
    <t>Beton asfaltový s rozprostřením a zhutněním v pruhu šířky do 3 m, ACO 11+ nebo ACO 16+, tloušťky 50 mm, plochy přes 1000 m2</t>
  </si>
  <si>
    <t>224</t>
  </si>
  <si>
    <t>577141122R00</t>
  </si>
  <si>
    <t>Beton asfaltový s rozprostřením a zhutněním v pruhu šířky do 3 m, ACL 16+, tloušťky 50 mm, plochy přes 1000 m2</t>
  </si>
  <si>
    <t>225</t>
  </si>
  <si>
    <t>599142111R00</t>
  </si>
  <si>
    <t>Úprava zálivky dilatačních nebo pracovních spár šířky přes 20 do 40 mm</t>
  </si>
  <si>
    <t>v cementobetonovém krytu hloubky do 40 mm
Včetně odstranění zvětralé asfaltové zálivky, vyčištění spár, zalití spár asfaltovou zálivkou, nátěru asfaltovým lakem a posyp drtí.</t>
  </si>
  <si>
    <t>226</t>
  </si>
  <si>
    <t>69310260</t>
  </si>
  <si>
    <t>Geosyntetika typ: geomříž; skladba: skelné vlákno; povrchová úprava: bitumen; plošná hmotnost = 300 g/m2; Pevnost v tahu podélně = 60,0 kN/m; Pevnost</t>
  </si>
  <si>
    <t>Trubní vedení</t>
  </si>
  <si>
    <t>227</t>
  </si>
  <si>
    <t>871313121R00</t>
  </si>
  <si>
    <t>Montáž potrubí z trub z plastů těsněných gumovým kroužkem  DN 150 mm</t>
  </si>
  <si>
    <t>8_</t>
  </si>
  <si>
    <t>SO 301_8_</t>
  </si>
  <si>
    <t>v otevřeném výkopu ve sklonu do 20 %,</t>
  </si>
  <si>
    <t>228</t>
  </si>
  <si>
    <t>877313123R00</t>
  </si>
  <si>
    <t>Montáž tvarovek na potrubí z trub z plastů těsněných gumovým kroužkem jednoosých DN 150 mm</t>
  </si>
  <si>
    <t>v otevřeném výkopu,</t>
  </si>
  <si>
    <t>229</t>
  </si>
  <si>
    <t>892571111R00</t>
  </si>
  <si>
    <t>Zkoušky těsnosti kanalizačního potrubí zkouška těsnosti kanalizačního potrubí vodou do DN 200 mm</t>
  </si>
  <si>
    <t>vodou nebo vzduchem,</t>
  </si>
  <si>
    <t>230</t>
  </si>
  <si>
    <t>895941111R00</t>
  </si>
  <si>
    <t>Zřízení vpusti kanalizační uliční z betonových dílců typ UV - 50 normální</t>
  </si>
  <si>
    <t>včetně zřízení lože ze štěrkopísku,</t>
  </si>
  <si>
    <t>231</t>
  </si>
  <si>
    <t>899331111R00</t>
  </si>
  <si>
    <t>Výšková úprava uličního vstupu nebo vpustě do 20 cm zvýšením poklopu</t>
  </si>
  <si>
    <t xml:space="preserve">
odbouráním dosavadního krytu, podkladu, nadezdívky nebo prstence s odklizením vybouraných hmot do 3 m, zarovnání plochy nadezdívky cementovou maltou, podbetonování nebo podezdění rámu, odstranění a znovuosazení rámu, poklopu, mříže, krycího hrnce nebo hydrantu, úpravy a doplnění krytu popř. podkladu vozovky v místě provedené výškové úpravy,</t>
  </si>
  <si>
    <t>232</t>
  </si>
  <si>
    <t>899202111R00</t>
  </si>
  <si>
    <t>Osazení mříží litinových o hmotnost jednotlivě přes 50  do 100 kg</t>
  </si>
  <si>
    <t>včetně rámů a košů na bahno,</t>
  </si>
  <si>
    <t>233</t>
  </si>
  <si>
    <t>817314111T01</t>
  </si>
  <si>
    <t>Montáž betonových útesů s hrdlem, navrtávka na kanalizaci</t>
  </si>
  <si>
    <t>234</t>
  </si>
  <si>
    <t>55292014</t>
  </si>
  <si>
    <t>Vyrovnávací vložka BC 12/166</t>
  </si>
  <si>
    <t>235</t>
  </si>
  <si>
    <t>Univerzální kolmé sedlo FA 150 B DN 150</t>
  </si>
  <si>
    <t>236</t>
  </si>
  <si>
    <t>55243095</t>
  </si>
  <si>
    <t>Mříž vtoková materiál: litina; pro uliční vpusť; zatížení: D 400; l = 500 mm; b = 500 mm; příslušenství: pant</t>
  </si>
  <si>
    <t>237</t>
  </si>
  <si>
    <t>28651661.</t>
  </si>
  <si>
    <t>Koleno plastové pro venkovní kanalizaci typ: jednoznačné; spoj: hrdlový; potrubí: jednovrstvé; materiál: PVC-U; povrch: hladký; úhel = 30,0 °; DN = 15</t>
  </si>
  <si>
    <t>4*1,03</t>
  </si>
  <si>
    <t>238</t>
  </si>
  <si>
    <t>28611132</t>
  </si>
  <si>
    <t>Trubka plastová pro venkovní kanalizaci spoj: hrdlový; potrubí: jednovrstvé; materiál: PVC-U; povrch: hladký; DN = 150; de = 160,0 mm; tl. stěny = 5,5</t>
  </si>
  <si>
    <t>6,5/6,0*1,03</t>
  </si>
  <si>
    <t>239</t>
  </si>
  <si>
    <t>592238750</t>
  </si>
  <si>
    <t>dno uliční vpusti beton; Di = 500,0 mm; h = 525 mm; t = 65 mm; s kalištěm; beton C 40/50</t>
  </si>
  <si>
    <t>3*1,01</t>
  </si>
  <si>
    <t>240</t>
  </si>
  <si>
    <t>592238747</t>
  </si>
  <si>
    <t>skruž betonová uliční vpusti; se sifonem 150 mm PVC; kruhová; l = 645 mm; d = 500 mm</t>
  </si>
  <si>
    <t>241</t>
  </si>
  <si>
    <t>592238741</t>
  </si>
  <si>
    <t>skruž betonová uliční vpusti; kruhová; l = 290 mm; d = 500 mm</t>
  </si>
  <si>
    <t>242</t>
  </si>
  <si>
    <t>592238740</t>
  </si>
  <si>
    <t>horní díl vpusti dešťové; pro čtvercový poklop; DN 500 mm; síla stěny 65 mm; h = 190 mm; beton; C 40/50; XA1</t>
  </si>
  <si>
    <t>243</t>
  </si>
  <si>
    <t>919735111R00</t>
  </si>
  <si>
    <t>Řezání stávajících krytů nebo podkladů živičných, hloubky do  50 mm</t>
  </si>
  <si>
    <t>SO 301_9_</t>
  </si>
  <si>
    <t>včetně spotřeby vody</t>
  </si>
  <si>
    <t>244</t>
  </si>
  <si>
    <t>Řezání stávajících krytů nebo podkladů živičných, hloubky přes 100 do 150 mm</t>
  </si>
  <si>
    <t>Různé dokončovací konstrukce a práce inženýrských staveb</t>
  </si>
  <si>
    <t>245</t>
  </si>
  <si>
    <t>936311113R00</t>
  </si>
  <si>
    <t>Zabetonování potrubí z betonu vodostavebního třídy C 25/30 XA2, o ploše otvoru do 0,25 m2</t>
  </si>
  <si>
    <t>93_</t>
  </si>
  <si>
    <t>uloženého ve vynechaných otvorech ve dně nebo ve stěnách nádrží z betonu vodostavebního, pevné spojení potrubí nebo trubní zděře s betonem v otvoru, očištění potrubí před betonáží, bednění a odbednění,</t>
  </si>
  <si>
    <t xml:space="preserve"> 0,012*0,2*2</t>
  </si>
  <si>
    <t>zabetonován okolo potrub</t>
  </si>
  <si>
    <t xml:space="preserve"> 0,032*0,2</t>
  </si>
  <si>
    <t>otvor po zrušené vpusti</t>
  </si>
  <si>
    <t>246</t>
  </si>
  <si>
    <t>969021111R00</t>
  </si>
  <si>
    <t>Vybourání kanalizačního potrubí DN do 100 mm</t>
  </si>
  <si>
    <t>247</t>
  </si>
  <si>
    <t>970051200R00</t>
  </si>
  <si>
    <t>Jádrové vrtání, kruhové prostupy v železobetonu jádrové vrtání , do D 200 mm</t>
  </si>
  <si>
    <t>0,2*2</t>
  </si>
  <si>
    <t>248</t>
  </si>
  <si>
    <t>970054200R00</t>
  </si>
  <si>
    <t>Jádrové vrtání, kruhové prostupy v železobetonu příplatek za jádrové vrtání vodorovně ve stěně , do D 200 mm</t>
  </si>
  <si>
    <t>0,2*0,2</t>
  </si>
  <si>
    <t>249</t>
  </si>
  <si>
    <t>976085311R00</t>
  </si>
  <si>
    <t>Vybourání madel, objímek, rámů, mříží apod. kanalizačních rámů litinových, z rýhovaného plechu nebo betonových včetně poklopů</t>
  </si>
  <si>
    <t>nebo mříží plochy do 0,6 m2</t>
  </si>
  <si>
    <t>250</t>
  </si>
  <si>
    <t>998276101R00</t>
  </si>
  <si>
    <t>Přesun hmot pro trubní vedení z trub plastových nebo sklolaminátových v otevřeném výkopu</t>
  </si>
  <si>
    <t>vodovodu nebo kanalizace ražené nebo hloubené (827 1.1, 827 1.9, 827 2.1, 827 2.9), drobných objektů
na vzdálenost 15 m od hrany výkopu nebo od okraje šachty</t>
  </si>
  <si>
    <t>D96</t>
  </si>
  <si>
    <t>Přesuny sutí a vybouraných hmot</t>
  </si>
  <si>
    <t>251</t>
  </si>
  <si>
    <t>979999973R00</t>
  </si>
  <si>
    <t>Poplatek za skládku za uložení, zemina a kamení, (skup.170504)</t>
  </si>
  <si>
    <t>D96_</t>
  </si>
  <si>
    <t>252</t>
  </si>
  <si>
    <t>979999981R00</t>
  </si>
  <si>
    <t>Poplatek za skládku Poplatek za recyklaci betonu kusovost do 1600 cm2, čistý (skup.170101)</t>
  </si>
  <si>
    <t>0,36738*1,7</t>
  </si>
  <si>
    <t>253</t>
  </si>
  <si>
    <t>Poplatek za skládku za recyklaci asfaltu, kusovost do 1600 cm2, (skup.170302)</t>
  </si>
  <si>
    <t>254</t>
  </si>
  <si>
    <t>979082213R00</t>
  </si>
  <si>
    <t>Vodorovná doprava suti po suchu bez naložení, ale se složením a hrubým urovnáním na vzdálenost do 1 km</t>
  </si>
  <si>
    <t>255</t>
  </si>
  <si>
    <t>979082219R00</t>
  </si>
  <si>
    <t>Vodorovná doprava suti po suchu příplatek k ceně za každý další i započatý 1 km přes 1 km</t>
  </si>
  <si>
    <t>256</t>
  </si>
  <si>
    <t>979093111R00</t>
  </si>
  <si>
    <t>bez zhutnění</t>
  </si>
  <si>
    <t>721</t>
  </si>
  <si>
    <t>Vnitřní kanalizace</t>
  </si>
  <si>
    <t>257</t>
  </si>
  <si>
    <t>721171809R00</t>
  </si>
  <si>
    <t>Demontáž potrubí z novodurových trub přes D 114 mm do D 160 mm</t>
  </si>
  <si>
    <t>721_</t>
  </si>
  <si>
    <t>SO 301_72_</t>
  </si>
  <si>
    <t>odpadního nebo připojovacího,</t>
  </si>
  <si>
    <t>258</t>
  </si>
  <si>
    <t>721290821R00</t>
  </si>
  <si>
    <t>Vnitrostaveništní přemístění vybouraných hmot svislý , v objektech výšky do 6m</t>
  </si>
  <si>
    <t>vodorovně do 100 m</t>
  </si>
  <si>
    <t>259</t>
  </si>
  <si>
    <t>998721201R00</t>
  </si>
  <si>
    <t>Přesun hmot pro vnitřní kanalizaci v objektech výšky do 6 m</t>
  </si>
  <si>
    <t>M M</t>
  </si>
  <si>
    <t>Elektroinstalace - materiál</t>
  </si>
  <si>
    <t>260</t>
  </si>
  <si>
    <t>15615235</t>
  </si>
  <si>
    <t>DRAT POZINK MEK 11343 D10.00M</t>
  </si>
  <si>
    <t>KG</t>
  </si>
  <si>
    <t>M M_</t>
  </si>
  <si>
    <t>SO 401_9_</t>
  </si>
  <si>
    <t>SO 401_</t>
  </si>
  <si>
    <t>261</t>
  </si>
  <si>
    <t>28600109</t>
  </si>
  <si>
    <t>TRUB PE KORUGOVANA          63/52MM</t>
  </si>
  <si>
    <t>262</t>
  </si>
  <si>
    <t>31673542</t>
  </si>
  <si>
    <t>STOZAR VO 5+0,8 POZINK,POPLAST (2xODSAZENY 133/89/60mm)</t>
  </si>
  <si>
    <t>KUS</t>
  </si>
  <si>
    <t>263</t>
  </si>
  <si>
    <t>31673544</t>
  </si>
  <si>
    <t>STOZAR VO 6+0,8 POZINK,POPLAST (2xODSAZENY 133/89/60mm)</t>
  </si>
  <si>
    <t>264</t>
  </si>
  <si>
    <t>34111032</t>
  </si>
  <si>
    <t>KABEL SIL CYKY-J 3X1,5</t>
  </si>
  <si>
    <t>265</t>
  </si>
  <si>
    <t>34112316</t>
  </si>
  <si>
    <t>KABEL AL JADRO AYKY-J 4X16</t>
  </si>
  <si>
    <t>266</t>
  </si>
  <si>
    <t>34523115</t>
  </si>
  <si>
    <t>VLOZKA E27 VC. POJ.HLAVICE 10 A</t>
  </si>
  <si>
    <t>267</t>
  </si>
  <si>
    <t>34562044</t>
  </si>
  <si>
    <t>SVORNICE ST SV10B            @</t>
  </si>
  <si>
    <t>268</t>
  </si>
  <si>
    <t>34571126</t>
  </si>
  <si>
    <t>TRUBKA INST OCEL ZAVIT 6036</t>
  </si>
  <si>
    <t>269</t>
  </si>
  <si>
    <t>34571158</t>
  </si>
  <si>
    <t>TRUBKA HDPE KOPOFLEX 110/94</t>
  </si>
  <si>
    <t>270</t>
  </si>
  <si>
    <t>34844925</t>
  </si>
  <si>
    <t>SVIT LED 1319lm, 2700K,IP65, LED10W (DLE VYBERU INVESTORA A VYPOCTU)</t>
  </si>
  <si>
    <t>271</t>
  </si>
  <si>
    <t>PASEK UZEMNOVACI 30X4 MM     *</t>
  </si>
  <si>
    <t>272</t>
  </si>
  <si>
    <t>35441895</t>
  </si>
  <si>
    <t>SVORKA PRIPOJ SP1 D6-12MM    *</t>
  </si>
  <si>
    <t>273</t>
  </si>
  <si>
    <t>35441986</t>
  </si>
  <si>
    <t>SVORKA VODOV SR 02,03 10MM PAS*</t>
  </si>
  <si>
    <t>274</t>
  </si>
  <si>
    <t>60892510</t>
  </si>
  <si>
    <t>LISTA ZEMNIHO SVODU IMPREG./ 2,5M</t>
  </si>
  <si>
    <t>275</t>
  </si>
  <si>
    <t>141R00</t>
  </si>
  <si>
    <t>PRIRAZKA ZA PODRUZNY MATERIAL M21</t>
  </si>
  <si>
    <t>kompl</t>
  </si>
  <si>
    <t>M S</t>
  </si>
  <si>
    <t>Elektroinstalace - specifikace</t>
  </si>
  <si>
    <t>276</t>
  </si>
  <si>
    <t>35711719</t>
  </si>
  <si>
    <t>PRIPOJKOVA SKRIN SP2/PS-7/DIN NA SLOUP VC. PRISLUSENSTVI</t>
  </si>
  <si>
    <t>M S_</t>
  </si>
  <si>
    <t>277</t>
  </si>
  <si>
    <t>358242510000</t>
  </si>
  <si>
    <t>POJISTKOVÝ ODPINAC 1P 6A DO PS</t>
  </si>
  <si>
    <t>278</t>
  </si>
  <si>
    <t>35864361</t>
  </si>
  <si>
    <t>PREPET. OCHRANA V/1+1 typ 2 + typ 3</t>
  </si>
  <si>
    <t>M- RZ</t>
  </si>
  <si>
    <t>Elektroinstalace - revize</t>
  </si>
  <si>
    <t>279</t>
  </si>
  <si>
    <t>905R01</t>
  </si>
  <si>
    <t>HZS-revize provoz.souboru a st.obj. REVIZE</t>
  </si>
  <si>
    <t>HOD</t>
  </si>
  <si>
    <t>M- RZ_</t>
  </si>
  <si>
    <t>M21</t>
  </si>
  <si>
    <t>Elektromontáže</t>
  </si>
  <si>
    <t>280</t>
  </si>
  <si>
    <t>210010036R00</t>
  </si>
  <si>
    <t>TRUBKA KORUGOVANA VOL      63/52 MM</t>
  </si>
  <si>
    <t>M21_</t>
  </si>
  <si>
    <t>281</t>
  </si>
  <si>
    <t>210010065R00</t>
  </si>
  <si>
    <t>TRUBKA OCEL ZAV PEV ULOZ     36  MM</t>
  </si>
  <si>
    <t>282</t>
  </si>
  <si>
    <t>210010125R00</t>
  </si>
  <si>
    <t>TRUBKA HDPE VOL ULOZ      110/94 MM</t>
  </si>
  <si>
    <t>283</t>
  </si>
  <si>
    <t>210020651R00</t>
  </si>
  <si>
    <t>KONSTRUKCE OCEL NOSNA  PRO PS VC. VYROBY A DODAVKY KONSTRUKCE</t>
  </si>
  <si>
    <t>284</t>
  </si>
  <si>
    <t>210100251R00</t>
  </si>
  <si>
    <t>UKONC KAB CELOPLAST SZ   4X10</t>
  </si>
  <si>
    <t>285</t>
  </si>
  <si>
    <t>210100252R00</t>
  </si>
  <si>
    <t>UKONC KAB CELOPLAST      4X25</t>
  </si>
  <si>
    <t>286</t>
  </si>
  <si>
    <t>210120031R00</t>
  </si>
  <si>
    <t>POJISTKA 10A, 16A VCET ZAPOJ</t>
  </si>
  <si>
    <t>287</t>
  </si>
  <si>
    <t>210120102R06</t>
  </si>
  <si>
    <t>PATRONA NOZOVA DO 500V VC.DODAVKY PH0 10A</t>
  </si>
  <si>
    <t>288</t>
  </si>
  <si>
    <t>210120311R00</t>
  </si>
  <si>
    <t>PREPETOVA OCHRANA TYP 2 a 3 DO POJISTKOVE SKRINE</t>
  </si>
  <si>
    <t>289</t>
  </si>
  <si>
    <t>210191551R00</t>
  </si>
  <si>
    <t>SKRIN POJISTKOVA PS 100A NA SLOUP</t>
  </si>
  <si>
    <t>290</t>
  </si>
  <si>
    <t>210202010R00</t>
  </si>
  <si>
    <t>SVITIDLO LED NA STOZAR pr.60mm  10W</t>
  </si>
  <si>
    <t>291</t>
  </si>
  <si>
    <t>210204001R00</t>
  </si>
  <si>
    <t>STOZAR OSVETLOV OCEL 5M</t>
  </si>
  <si>
    <t>292</t>
  </si>
  <si>
    <t>210204002R00</t>
  </si>
  <si>
    <t>STOZAR OSVETLOV OCEL 6M</t>
  </si>
  <si>
    <t>293</t>
  </si>
  <si>
    <t>210204202R00</t>
  </si>
  <si>
    <t>ELEKTROVYZBROJ STOZARU 2 OKRUHY</t>
  </si>
  <si>
    <t>294</t>
  </si>
  <si>
    <t>210220002R00</t>
  </si>
  <si>
    <t>VEDENI UZEM FEZN   D 10 MM   POVRCH</t>
  </si>
  <si>
    <t>295</t>
  </si>
  <si>
    <t>210220021R00</t>
  </si>
  <si>
    <t>VEDENI UZEM FEZN DO 120 MM2  V ZEMI</t>
  </si>
  <si>
    <t>296</t>
  </si>
  <si>
    <t>210220302R00</t>
  </si>
  <si>
    <t>SVORKA HROMOSVOD NAD 2 /ST,SJ,ATD/</t>
  </si>
  <si>
    <t>297</t>
  </si>
  <si>
    <t>210810005R00</t>
  </si>
  <si>
    <t>KABEL CYKY-J 750V 3X1,5       VOLNE</t>
  </si>
  <si>
    <t>298</t>
  </si>
  <si>
    <t>210901015R00</t>
  </si>
  <si>
    <t>KABEL AYKY   750V  4X16       VOLNE</t>
  </si>
  <si>
    <t>210901035R00</t>
  </si>
  <si>
    <t>KABEL AYKYZ  750V  2X16       PEVNE</t>
  </si>
  <si>
    <t>300</t>
  </si>
  <si>
    <t>203R00</t>
  </si>
  <si>
    <t>ZEDNICKE VYPOMOCI M21 cl.13,odst.5a</t>
  </si>
  <si>
    <t>301</t>
  </si>
  <si>
    <t>100254480206</t>
  </si>
  <si>
    <t>AUTOMOBIL NAKL. (DOPRAVA STOZARU)</t>
  </si>
  <si>
    <t>Sh</t>
  </si>
  <si>
    <t>302</t>
  </si>
  <si>
    <t>180456000900</t>
  </si>
  <si>
    <t>MONT.PLOSINA AUT.PODV. MTP27</t>
  </si>
  <si>
    <t>900R00</t>
  </si>
  <si>
    <t>HZS -nezmeritelne prace -cl.17,o.1a PRACE NA STOZARU EG.D</t>
  </si>
  <si>
    <t>304</t>
  </si>
  <si>
    <t>900R01</t>
  </si>
  <si>
    <t>HZS -nezmeritelne prace -cl.17,o.1a NEPREDVIDANE PRACE/ NATERY, PRIP.</t>
  </si>
  <si>
    <t>305</t>
  </si>
  <si>
    <t>900R07</t>
  </si>
  <si>
    <t>HZS -nezmeritelne prace -cl.17,o.1a DEMONTAZE STAV. STOZARU, SVITIDEL</t>
  </si>
  <si>
    <t>VCETNE EL. ROZVODU V.O.  A ULOZENI MATERIALU DO  SKLADU INVESTORA</t>
  </si>
  <si>
    <t>M46</t>
  </si>
  <si>
    <t>Zemní práce při montážích</t>
  </si>
  <si>
    <t>306</t>
  </si>
  <si>
    <t>460010022RT2</t>
  </si>
  <si>
    <t>VYTÝČENÍ KABELOVÉ TRASY   U SILNICE DÉLKA TRASY DO  500M</t>
  </si>
  <si>
    <t>KM</t>
  </si>
  <si>
    <t>M46_</t>
  </si>
  <si>
    <t>307</t>
  </si>
  <si>
    <t>460050702R00</t>
  </si>
  <si>
    <t>JÁMA PRO STOŽÁRY VEŘ.OSVĚTL.HOR.2-4 (HL. 0,90M)</t>
  </si>
  <si>
    <t>M3</t>
  </si>
  <si>
    <t>308</t>
  </si>
  <si>
    <t>460050703R00</t>
  </si>
  <si>
    <t>JÁMA PRO STOŽÁRY VEŘ.OSVĚTL.HOR.2-4 (HL. 1,50M)</t>
  </si>
  <si>
    <t>309</t>
  </si>
  <si>
    <t>460100001RT1</t>
  </si>
  <si>
    <t>POUZDROVÝ ZÁKLAD 250x800   MIMO OSU KOMPLETNÍ ZHOT.POUZDROVÉHO ZÁKLADU</t>
  </si>
  <si>
    <t>310</t>
  </si>
  <si>
    <t>460100004RT1</t>
  </si>
  <si>
    <t>POUZDROVÝ ZÁKLAD 350x1500  MIMO OSU KOMPLETNÍ ZHOT.POUZDROVÉHO ZÁKLADU</t>
  </si>
  <si>
    <t>311</t>
  </si>
  <si>
    <t>460200103RT1</t>
  </si>
  <si>
    <t>VÝKOP KABELOVÉ RÝHY 35/20 CM  HOR.3 RUČNÍ VÝKOP RÝHY</t>
  </si>
  <si>
    <t>312</t>
  </si>
  <si>
    <t>460200163RT1</t>
  </si>
  <si>
    <t>VÝKOP KABELOVÉ RÝHY 35/80 CM  HOR.3 RUČNÍ VÝKOP RÝHY</t>
  </si>
  <si>
    <t>313</t>
  </si>
  <si>
    <t>460420022RT3</t>
  </si>
  <si>
    <t>ZŘÍZENÍ KABEL.LOŽE Z PÍSKU     10CM LOŽE TL. 20CM</t>
  </si>
  <si>
    <t>314</t>
  </si>
  <si>
    <t>460420041R00</t>
  </si>
  <si>
    <t>ZRI KAB LOZ ZRNA 8MM 30/30CM PISEK PRO TR. AROT - ZDUSANI</t>
  </si>
  <si>
    <t>315</t>
  </si>
  <si>
    <t>460420502R00</t>
  </si>
  <si>
    <t>KRIZOVATKA S KANALIZACI, VODOVODEM DO PE TRUBKY</t>
  </si>
  <si>
    <t>316</t>
  </si>
  <si>
    <t>460490011R00</t>
  </si>
  <si>
    <t>ZAKRYTI KABELU FOLII PVC 22 CM</t>
  </si>
  <si>
    <t>317</t>
  </si>
  <si>
    <t>460510021R00</t>
  </si>
  <si>
    <t>KAB PROSTUP PVC ROURA     10 CM VC. TR. AROT DVK 110/94 DELKA 6M</t>
  </si>
  <si>
    <t>318</t>
  </si>
  <si>
    <t>460600001RT2</t>
  </si>
  <si>
    <t>NALOŽENÍ A ODVOZ ZEMINY      DO 1KM ODVOZ NA VZDÁLENOST           1000M</t>
  </si>
  <si>
    <t>319</t>
  </si>
  <si>
    <t>460600002R00</t>
  </si>
  <si>
    <t>PŘÍPLATEK ZA ODVOZ DALŠÍCH    1000M (+ 4 km )</t>
  </si>
  <si>
    <t>320</t>
  </si>
  <si>
    <t>460620013R00</t>
  </si>
  <si>
    <t>PROVIZORNI UPRAVA TERENU       ZEM3</t>
  </si>
  <si>
    <t>M2</t>
  </si>
</sst>
</file>

<file path=xl/styles.xml><?xml version="1.0" encoding="utf-8"?>
<styleSheet xmlns="http://schemas.openxmlformats.org/spreadsheetml/2006/main">
  <fonts count="16">
    <font>
      <sz val="11"/>
      <name val="Calibri"/>
      <charset val="1"/>
    </font>
    <font>
      <sz val="18"/>
      <color rgb="FF000000"/>
      <name val="Arial"/>
      <charset val="238"/>
    </font>
    <font>
      <sz val="10"/>
      <color rgb="FF000000"/>
      <name val="Arial"/>
      <charset val="238"/>
    </font>
    <font>
      <b/>
      <sz val="10"/>
      <color rgb="FF000000"/>
      <name val="Arial"/>
      <charset val="238"/>
    </font>
    <font>
      <b/>
      <sz val="18"/>
      <color rgb="FF000000"/>
      <name val="Arial"/>
      <charset val="238"/>
    </font>
    <font>
      <b/>
      <sz val="20"/>
      <color rgb="FF000000"/>
      <name val="Arial"/>
      <charset val="238"/>
    </font>
    <font>
      <b/>
      <sz val="11"/>
      <color rgb="FF000000"/>
      <name val="Arial"/>
      <charset val="238"/>
    </font>
    <font>
      <b/>
      <sz val="12"/>
      <color rgb="FF000000"/>
      <name val="Arial"/>
      <charset val="238"/>
    </font>
    <font>
      <sz val="12"/>
      <color rgb="FF000000"/>
      <name val="Arial"/>
      <charset val="238"/>
    </font>
    <font>
      <i/>
      <sz val="8"/>
      <color rgb="FF000000"/>
      <name val="Arial"/>
      <charset val="238"/>
    </font>
    <font>
      <sz val="10"/>
      <color rgb="FF400040"/>
      <name val="Arial"/>
      <charset val="238"/>
    </font>
    <font>
      <b/>
      <sz val="10"/>
      <color rgb="FF400040"/>
      <name val="Arial"/>
      <charset val="238"/>
    </font>
    <font>
      <i/>
      <sz val="10"/>
      <color rgb="FF400040"/>
      <name val="Arial"/>
      <charset val="238"/>
    </font>
    <font>
      <i/>
      <sz val="10"/>
      <color rgb="FF0000FF"/>
      <name val="Arial"/>
      <charset val="238"/>
    </font>
    <font>
      <i/>
      <sz val="10"/>
      <color rgb="FF000000"/>
      <name val="Arial"/>
      <charset val="238"/>
    </font>
    <font>
      <sz val="11"/>
      <color rgb="FF000000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CCFFFF"/>
        <bgColor rgb="FFCCFFFF"/>
      </patternFill>
    </fill>
    <fill>
      <patternFill patternType="solid">
        <fgColor rgb="FFEAEAEA"/>
        <bgColor rgb="FFEAEAEA"/>
      </patternFill>
    </fill>
    <fill>
      <patternFill patternType="solid">
        <fgColor rgb="FFCCFFFF"/>
        <bgColor rgb="FFCCFFFF"/>
      </patternFill>
    </fill>
  </fills>
  <borders count="7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2" fillId="0" borderId="5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/>
    </xf>
    <xf numFmtId="0" fontId="5" fillId="2" borderId="11" xfId="0" applyNumberFormat="1" applyFont="1" applyFill="1" applyBorder="1" applyAlignment="1" applyProtection="1">
      <alignment horizontal="center" vertical="center"/>
    </xf>
    <xf numFmtId="0" fontId="5" fillId="2" borderId="14" xfId="0" applyNumberFormat="1" applyFont="1" applyFill="1" applyBorder="1" applyAlignment="1" applyProtection="1">
      <alignment horizontal="center" vertical="center"/>
    </xf>
    <xf numFmtId="0" fontId="7" fillId="0" borderId="15" xfId="0" applyNumberFormat="1" applyFont="1" applyFill="1" applyBorder="1" applyAlignment="1" applyProtection="1">
      <alignment horizontal="left" vertical="center"/>
    </xf>
    <xf numFmtId="0" fontId="8" fillId="0" borderId="16" xfId="0" applyNumberFormat="1" applyFont="1" applyFill="1" applyBorder="1" applyAlignment="1" applyProtection="1">
      <alignment horizontal="left" vertical="center"/>
    </xf>
    <xf numFmtId="4" fontId="8" fillId="0" borderId="16" xfId="0" applyNumberFormat="1" applyFont="1" applyFill="1" applyBorder="1" applyAlignment="1" applyProtection="1">
      <alignment horizontal="right" vertical="center"/>
    </xf>
    <xf numFmtId="0" fontId="8" fillId="0" borderId="16" xfId="0" applyNumberFormat="1" applyFont="1" applyFill="1" applyBorder="1" applyAlignment="1" applyProtection="1">
      <alignment horizontal="right" vertical="center"/>
    </xf>
    <xf numFmtId="0" fontId="7" fillId="0" borderId="19" xfId="0" applyNumberFormat="1" applyFont="1" applyFill="1" applyBorder="1" applyAlignment="1" applyProtection="1">
      <alignment horizontal="left" vertical="center"/>
    </xf>
    <xf numFmtId="4" fontId="8" fillId="0" borderId="23" xfId="0" applyNumberFormat="1" applyFont="1" applyFill="1" applyBorder="1" applyAlignment="1" applyProtection="1">
      <alignment horizontal="right" vertical="center"/>
    </xf>
    <xf numFmtId="0" fontId="8" fillId="0" borderId="23" xfId="0" applyNumberFormat="1" applyFont="1" applyFill="1" applyBorder="1" applyAlignment="1" applyProtection="1">
      <alignment horizontal="right" vertical="center"/>
    </xf>
    <xf numFmtId="4" fontId="8" fillId="0" borderId="14" xfId="0" applyNumberFormat="1" applyFont="1" applyFill="1" applyBorder="1" applyAlignment="1" applyProtection="1">
      <alignment horizontal="right" vertical="center"/>
    </xf>
    <xf numFmtId="4" fontId="8" fillId="0" borderId="26" xfId="0" applyNumberFormat="1" applyFont="1" applyFill="1" applyBorder="1" applyAlignment="1" applyProtection="1">
      <alignment horizontal="right" vertical="center"/>
    </xf>
    <xf numFmtId="4" fontId="7" fillId="2" borderId="13" xfId="0" applyNumberFormat="1" applyFont="1" applyFill="1" applyBorder="1" applyAlignment="1" applyProtection="1">
      <alignment horizontal="right" vertical="center"/>
    </xf>
    <xf numFmtId="4" fontId="7" fillId="2" borderId="18" xfId="0" applyNumberFormat="1" applyFont="1" applyFill="1" applyBorder="1" applyAlignment="1" applyProtection="1">
      <alignment horizontal="right" vertical="center"/>
    </xf>
    <xf numFmtId="0" fontId="9" fillId="0" borderId="40" xfId="0" applyNumberFormat="1" applyFont="1" applyFill="1" applyBorder="1" applyAlignment="1" applyProtection="1">
      <alignment horizontal="left" vertical="center"/>
    </xf>
    <xf numFmtId="0" fontId="3" fillId="0" borderId="45" xfId="0" applyNumberFormat="1" applyFont="1" applyFill="1" applyBorder="1" applyAlignment="1" applyProtection="1">
      <alignment horizontal="right" vertical="center"/>
    </xf>
    <xf numFmtId="4" fontId="2" fillId="0" borderId="16" xfId="0" applyNumberFormat="1" applyFont="1" applyFill="1" applyBorder="1" applyAlignment="1" applyProtection="1">
      <alignment horizontal="right" vertical="center"/>
    </xf>
    <xf numFmtId="0" fontId="2" fillId="0" borderId="16" xfId="0" applyNumberFormat="1" applyFont="1" applyFill="1" applyBorder="1" applyAlignment="1" applyProtection="1">
      <alignment horizontal="left" vertical="center"/>
    </xf>
    <xf numFmtId="4" fontId="2" fillId="0" borderId="49" xfId="0" applyNumberFormat="1" applyFont="1" applyFill="1" applyBorder="1" applyAlignment="1" applyProtection="1">
      <alignment horizontal="right" vertical="center"/>
    </xf>
    <xf numFmtId="0" fontId="2" fillId="0" borderId="49" xfId="0" applyNumberFormat="1" applyFont="1" applyFill="1" applyBorder="1" applyAlignment="1" applyProtection="1">
      <alignment horizontal="left" vertical="center"/>
    </xf>
    <xf numFmtId="0" fontId="3" fillId="0" borderId="53" xfId="0" applyNumberFormat="1" applyFont="1" applyFill="1" applyBorder="1" applyAlignment="1" applyProtection="1">
      <alignment horizontal="left" vertical="center"/>
    </xf>
    <xf numFmtId="0" fontId="3" fillId="0" borderId="53" xfId="0" applyNumberFormat="1" applyFont="1" applyFill="1" applyBorder="1" applyAlignment="1" applyProtection="1">
      <alignment horizontal="right" vertical="center"/>
    </xf>
    <xf numFmtId="4" fontId="3" fillId="0" borderId="53" xfId="0" applyNumberFormat="1" applyFont="1" applyFill="1" applyBorder="1" applyAlignment="1" applyProtection="1">
      <alignment horizontal="right" vertical="center"/>
    </xf>
    <xf numFmtId="0" fontId="2" fillId="0" borderId="57" xfId="0" applyNumberFormat="1" applyFont="1" applyFill="1" applyBorder="1" applyAlignment="1" applyProtection="1">
      <alignment horizontal="left" vertical="center"/>
    </xf>
    <xf numFmtId="0" fontId="3" fillId="0" borderId="60" xfId="0" applyNumberFormat="1" applyFont="1" applyFill="1" applyBorder="1" applyAlignment="1" applyProtection="1">
      <alignment horizontal="center" vertical="center"/>
    </xf>
    <xf numFmtId="0" fontId="3" fillId="0" borderId="61" xfId="0" applyNumberFormat="1" applyFont="1" applyFill="1" applyBorder="1" applyAlignment="1" applyProtection="1">
      <alignment horizontal="left" vertical="center"/>
    </xf>
    <xf numFmtId="0" fontId="3" fillId="0" borderId="64" xfId="0" applyNumberFormat="1" applyFont="1" applyFill="1" applyBorder="1" applyAlignment="1" applyProtection="1">
      <alignment horizontal="center" vertical="center"/>
    </xf>
    <xf numFmtId="0" fontId="2" fillId="0" borderId="65" xfId="0" applyNumberFormat="1" applyFont="1" applyFill="1" applyBorder="1" applyAlignment="1" applyProtection="1">
      <alignment horizontal="left" vertical="center"/>
    </xf>
    <xf numFmtId="4" fontId="2" fillId="0" borderId="66" xfId="0" applyNumberFormat="1" applyFont="1" applyFill="1" applyBorder="1" applyAlignment="1" applyProtection="1">
      <alignment horizontal="right" vertical="center"/>
    </xf>
    <xf numFmtId="0" fontId="2" fillId="0" borderId="67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right" vertical="center"/>
    </xf>
    <xf numFmtId="4" fontId="2" fillId="0" borderId="6" xfId="0" applyNumberFormat="1" applyFont="1" applyFill="1" applyBorder="1" applyAlignment="1" applyProtection="1">
      <alignment horizontal="right" vertical="center"/>
    </xf>
    <xf numFmtId="4" fontId="2" fillId="0" borderId="9" xfId="0" applyNumberFormat="1" applyFont="1" applyFill="1" applyBorder="1" applyAlignment="1" applyProtection="1">
      <alignment horizontal="right" vertical="center"/>
    </xf>
    <xf numFmtId="4" fontId="3" fillId="0" borderId="68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4" fontId="3" fillId="2" borderId="0" xfId="0" applyNumberFormat="1" applyFont="1" applyFill="1" applyBorder="1" applyAlignment="1" applyProtection="1">
      <alignment horizontal="right" vertical="center"/>
    </xf>
    <xf numFmtId="0" fontId="3" fillId="0" borderId="69" xfId="0" applyNumberFormat="1" applyFont="1" applyFill="1" applyBorder="1" applyAlignment="1" applyProtection="1">
      <alignment horizontal="left" vertical="center"/>
    </xf>
    <xf numFmtId="0" fontId="3" fillId="0" borderId="70" xfId="0" applyNumberFormat="1" applyFont="1" applyFill="1" applyBorder="1" applyAlignment="1" applyProtection="1">
      <alignment horizontal="left" vertical="center"/>
    </xf>
    <xf numFmtId="0" fontId="3" fillId="0" borderId="70" xfId="0" applyNumberFormat="1" applyFont="1" applyFill="1" applyBorder="1" applyAlignment="1" applyProtection="1">
      <alignment horizontal="center" vertical="center"/>
    </xf>
    <xf numFmtId="0" fontId="3" fillId="3" borderId="72" xfId="0" applyNumberFormat="1" applyFont="1" applyFill="1" applyBorder="1" applyAlignment="1" applyProtection="1">
      <alignment horizontal="center" vertical="center"/>
      <protection locked="0"/>
    </xf>
    <xf numFmtId="0" fontId="0" fillId="0" borderId="73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2" fillId="0" borderId="74" xfId="0" applyNumberFormat="1" applyFont="1" applyFill="1" applyBorder="1" applyAlignment="1" applyProtection="1">
      <alignment horizontal="left" vertical="center"/>
    </xf>
    <xf numFmtId="0" fontId="2" fillId="0" borderId="75" xfId="0" applyNumberFormat="1" applyFont="1" applyFill="1" applyBorder="1" applyAlignment="1" applyProtection="1">
      <alignment horizontal="left" vertical="center"/>
    </xf>
    <xf numFmtId="0" fontId="3" fillId="3" borderId="75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NumberFormat="1" applyFont="1" applyFill="1" applyBorder="1" applyAlignment="1" applyProtection="1"/>
    <xf numFmtId="0" fontId="10" fillId="4" borderId="65" xfId="0" applyNumberFormat="1" applyFont="1" applyFill="1" applyBorder="1" applyAlignment="1" applyProtection="1">
      <alignment horizontal="left" vertical="center"/>
    </xf>
    <xf numFmtId="0" fontId="11" fillId="4" borderId="40" xfId="0" applyNumberFormat="1" applyFont="1" applyFill="1" applyBorder="1" applyAlignment="1" applyProtection="1">
      <alignment horizontal="left" vertical="center"/>
    </xf>
    <xf numFmtId="0" fontId="10" fillId="4" borderId="40" xfId="0" applyNumberFormat="1" applyFont="1" applyFill="1" applyBorder="1" applyAlignment="1" applyProtection="1">
      <alignment horizontal="left" vertical="center"/>
    </xf>
    <xf numFmtId="0" fontId="10" fillId="5" borderId="40" xfId="0" applyNumberFormat="1" applyFont="1" applyFill="1" applyBorder="1" applyAlignment="1" applyProtection="1">
      <alignment horizontal="left" vertical="center"/>
      <protection locked="0"/>
    </xf>
    <xf numFmtId="4" fontId="11" fillId="4" borderId="40" xfId="0" applyNumberFormat="1" applyFont="1" applyFill="1" applyBorder="1" applyAlignment="1" applyProtection="1">
      <alignment horizontal="right" vertical="center"/>
    </xf>
    <xf numFmtId="0" fontId="2" fillId="2" borderId="5" xfId="0" applyNumberFormat="1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>
      <alignment horizontal="left" vertical="center"/>
    </xf>
    <xf numFmtId="0" fontId="2" fillId="2" borderId="0" xfId="0" applyNumberFormat="1" applyFont="1" applyFill="1" applyBorder="1" applyAlignment="1" applyProtection="1">
      <alignment horizontal="left" vertical="center"/>
    </xf>
    <xf numFmtId="0" fontId="2" fillId="5" borderId="0" xfId="0" applyNumberFormat="1" applyFont="1" applyFill="1" applyBorder="1" applyAlignment="1" applyProtection="1">
      <alignment horizontal="left" vertical="center"/>
      <protection locked="0"/>
    </xf>
    <xf numFmtId="4" fontId="2" fillId="3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10" fillId="4" borderId="5" xfId="0" applyNumberFormat="1" applyFont="1" applyFill="1" applyBorder="1" applyAlignment="1" applyProtection="1">
      <alignment horizontal="left" vertical="center"/>
    </xf>
    <xf numFmtId="0" fontId="11" fillId="4" borderId="0" xfId="0" applyNumberFormat="1" applyFont="1" applyFill="1" applyBorder="1" applyAlignment="1" applyProtection="1">
      <alignment horizontal="left" vertical="center"/>
    </xf>
    <xf numFmtId="0" fontId="10" fillId="4" borderId="0" xfId="0" applyNumberFormat="1" applyFont="1" applyFill="1" applyBorder="1" applyAlignment="1" applyProtection="1">
      <alignment horizontal="left" vertical="center"/>
    </xf>
    <xf numFmtId="0" fontId="10" fillId="5" borderId="0" xfId="0" applyNumberFormat="1" applyFont="1" applyFill="1" applyBorder="1" applyAlignment="1" applyProtection="1">
      <alignment horizontal="left" vertical="center"/>
      <protection locked="0"/>
    </xf>
    <xf numFmtId="4" fontId="11" fillId="4" borderId="0" xfId="0" applyNumberFormat="1" applyFont="1" applyFill="1" applyBorder="1" applyAlignment="1" applyProtection="1">
      <alignment horizontal="right" vertical="center"/>
    </xf>
    <xf numFmtId="0" fontId="0" fillId="0" borderId="5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>
      <alignment horizontal="left" vertical="center"/>
    </xf>
    <xf numFmtId="4" fontId="12" fillId="0" borderId="0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right" vertical="center"/>
    </xf>
    <xf numFmtId="0" fontId="15" fillId="0" borderId="5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>
      <alignment horizontal="left" vertical="center"/>
    </xf>
    <xf numFmtId="4" fontId="14" fillId="0" borderId="0" xfId="0" applyNumberFormat="1" applyFont="1" applyFill="1" applyBorder="1" applyAlignment="1" applyProtection="1">
      <alignment horizontal="right" vertical="center"/>
    </xf>
    <xf numFmtId="0" fontId="15" fillId="3" borderId="0" xfId="0" applyNumberFormat="1" applyFont="1" applyFill="1" applyBorder="1" applyAlignment="1" applyProtection="1">
      <protection locked="0"/>
    </xf>
    <xf numFmtId="4" fontId="2" fillId="0" borderId="8" xfId="0" applyNumberFormat="1" applyFont="1" applyFill="1" applyBorder="1" applyAlignment="1" applyProtection="1">
      <alignment horizontal="right" vertical="center"/>
    </xf>
    <xf numFmtId="4" fontId="2" fillId="3" borderId="8" xfId="0" applyNumberFormat="1" applyFont="1" applyFill="1" applyBorder="1" applyAlignment="1" applyProtection="1">
      <alignment horizontal="right" vertical="center"/>
      <protection locked="0"/>
    </xf>
    <xf numFmtId="0" fontId="0" fillId="0" borderId="8" xfId="0" applyNumberFormat="1" applyFont="1" applyFill="1" applyBorder="1" applyAlignment="1" applyProtection="1"/>
    <xf numFmtId="0" fontId="0" fillId="0" borderId="9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left" vertical="center"/>
    </xf>
    <xf numFmtId="1" fontId="2" fillId="0" borderId="6" xfId="0" applyNumberFormat="1" applyFont="1" applyFill="1" applyBorder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/>
    </xf>
    <xf numFmtId="0" fontId="4" fillId="0" borderId="10" xfId="0" applyNumberFormat="1" applyFont="1" applyFill="1" applyBorder="1" applyAlignment="1" applyProtection="1">
      <alignment horizontal="center" vertical="center"/>
    </xf>
    <xf numFmtId="0" fontId="6" fillId="0" borderId="12" xfId="0" applyNumberFormat="1" applyFont="1" applyFill="1" applyBorder="1" applyAlignment="1" applyProtection="1">
      <alignment horizontal="left" vertical="center"/>
    </xf>
    <xf numFmtId="0" fontId="6" fillId="0" borderId="13" xfId="0" applyNumberFormat="1" applyFont="1" applyFill="1" applyBorder="1" applyAlignment="1" applyProtection="1">
      <alignment horizontal="left" vertical="center"/>
    </xf>
    <xf numFmtId="0" fontId="7" fillId="0" borderId="20" xfId="0" applyNumberFormat="1" applyFont="1" applyFill="1" applyBorder="1" applyAlignment="1" applyProtection="1">
      <alignment horizontal="left" vertical="center"/>
    </xf>
    <xf numFmtId="0" fontId="7" fillId="0" borderId="18" xfId="0" applyNumberFormat="1" applyFont="1" applyFill="1" applyBorder="1" applyAlignment="1" applyProtection="1">
      <alignment horizontal="left" vertical="center"/>
    </xf>
    <xf numFmtId="0" fontId="7" fillId="0" borderId="21" xfId="0" applyNumberFormat="1" applyFont="1" applyFill="1" applyBorder="1" applyAlignment="1" applyProtection="1">
      <alignment horizontal="left" vertical="center"/>
    </xf>
    <xf numFmtId="0" fontId="7" fillId="0" borderId="22" xfId="0" applyNumberFormat="1" applyFont="1" applyFill="1" applyBorder="1" applyAlignment="1" applyProtection="1">
      <alignment horizontal="left" vertical="center"/>
    </xf>
    <xf numFmtId="0" fontId="7" fillId="0" borderId="25" xfId="0" applyNumberFormat="1" applyFont="1" applyFill="1" applyBorder="1" applyAlignment="1" applyProtection="1">
      <alignment horizontal="left" vertical="center"/>
    </xf>
    <xf numFmtId="0" fontId="7" fillId="0" borderId="13" xfId="0" applyNumberFormat="1" applyFont="1" applyFill="1" applyBorder="1" applyAlignment="1" applyProtection="1">
      <alignment horizontal="left" vertical="center"/>
    </xf>
    <xf numFmtId="0" fontId="8" fillId="0" borderId="17" xfId="0" applyNumberFormat="1" applyFont="1" applyFill="1" applyBorder="1" applyAlignment="1" applyProtection="1">
      <alignment horizontal="left" vertical="center"/>
    </xf>
    <xf numFmtId="0" fontId="8" fillId="0" borderId="18" xfId="0" applyNumberFormat="1" applyFont="1" applyFill="1" applyBorder="1" applyAlignment="1" applyProtection="1">
      <alignment horizontal="left" vertical="center"/>
    </xf>
    <xf numFmtId="0" fontId="8" fillId="0" borderId="24" xfId="0" applyNumberFormat="1" applyFont="1" applyFill="1" applyBorder="1" applyAlignment="1" applyProtection="1">
      <alignment horizontal="left" vertical="center"/>
    </xf>
    <xf numFmtId="0" fontId="8" fillId="0" borderId="22" xfId="0" applyNumberFormat="1" applyFont="1" applyFill="1" applyBorder="1" applyAlignment="1" applyProtection="1">
      <alignment horizontal="left" vertical="center"/>
    </xf>
    <xf numFmtId="0" fontId="7" fillId="0" borderId="12" xfId="0" applyNumberFormat="1" applyFont="1" applyFill="1" applyBorder="1" applyAlignment="1" applyProtection="1">
      <alignment horizontal="left" vertical="center"/>
    </xf>
    <xf numFmtId="0" fontId="7" fillId="0" borderId="17" xfId="0" applyNumberFormat="1" applyFont="1" applyFill="1" applyBorder="1" applyAlignment="1" applyProtection="1">
      <alignment horizontal="left" vertical="center"/>
    </xf>
    <xf numFmtId="0" fontId="7" fillId="2" borderId="25" xfId="0" applyNumberFormat="1" applyFont="1" applyFill="1" applyBorder="1" applyAlignment="1" applyProtection="1">
      <alignment horizontal="left" vertical="center"/>
    </xf>
    <xf numFmtId="0" fontId="7" fillId="2" borderId="27" xfId="0" applyNumberFormat="1" applyFont="1" applyFill="1" applyBorder="1" applyAlignment="1" applyProtection="1">
      <alignment horizontal="left" vertical="center"/>
    </xf>
    <xf numFmtId="0" fontId="7" fillId="2" borderId="20" xfId="0" applyNumberFormat="1" applyFont="1" applyFill="1" applyBorder="1" applyAlignment="1" applyProtection="1">
      <alignment horizontal="left" vertical="center"/>
    </xf>
    <xf numFmtId="0" fontId="7" fillId="2" borderId="28" xfId="0" applyNumberFormat="1" applyFont="1" applyFill="1" applyBorder="1" applyAlignment="1" applyProtection="1">
      <alignment horizontal="left" vertical="center"/>
    </xf>
    <xf numFmtId="0" fontId="7" fillId="2" borderId="12" xfId="0" applyNumberFormat="1" applyFont="1" applyFill="1" applyBorder="1" applyAlignment="1" applyProtection="1">
      <alignment horizontal="left" vertical="center"/>
    </xf>
    <xf numFmtId="0" fontId="7" fillId="2" borderId="17" xfId="0" applyNumberFormat="1" applyFont="1" applyFill="1" applyBorder="1" applyAlignment="1" applyProtection="1">
      <alignment horizontal="left" vertical="center"/>
    </xf>
    <xf numFmtId="0" fontId="8" fillId="0" borderId="29" xfId="0" applyNumberFormat="1" applyFont="1" applyFill="1" applyBorder="1" applyAlignment="1" applyProtection="1">
      <alignment horizontal="left" vertical="center"/>
    </xf>
    <xf numFmtId="0" fontId="8" fillId="0" borderId="30" xfId="0" applyNumberFormat="1" applyFont="1" applyFill="1" applyBorder="1" applyAlignment="1" applyProtection="1">
      <alignment horizontal="left" vertical="center"/>
    </xf>
    <xf numFmtId="0" fontId="8" fillId="0" borderId="31" xfId="0" applyNumberFormat="1" applyFont="1" applyFill="1" applyBorder="1" applyAlignment="1" applyProtection="1">
      <alignment horizontal="left" vertical="center"/>
    </xf>
    <xf numFmtId="0" fontId="8" fillId="0" borderId="33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8" fillId="0" borderId="34" xfId="0" applyNumberFormat="1" applyFont="1" applyFill="1" applyBorder="1" applyAlignment="1" applyProtection="1">
      <alignment horizontal="left" vertical="center"/>
    </xf>
    <xf numFmtId="0" fontId="8" fillId="0" borderId="36" xfId="0" applyNumberFormat="1" applyFont="1" applyFill="1" applyBorder="1" applyAlignment="1" applyProtection="1">
      <alignment horizontal="left" vertical="center"/>
    </xf>
    <xf numFmtId="0" fontId="8" fillId="0" borderId="37" xfId="0" applyNumberFormat="1" applyFont="1" applyFill="1" applyBorder="1" applyAlignment="1" applyProtection="1">
      <alignment horizontal="left" vertical="center"/>
    </xf>
    <xf numFmtId="0" fontId="8" fillId="0" borderId="38" xfId="0" applyNumberFormat="1" applyFont="1" applyFill="1" applyBorder="1" applyAlignment="1" applyProtection="1">
      <alignment horizontal="left" vertical="center"/>
    </xf>
    <xf numFmtId="0" fontId="8" fillId="0" borderId="32" xfId="0" applyNumberFormat="1" applyFont="1" applyFill="1" applyBorder="1" applyAlignment="1" applyProtection="1">
      <alignment horizontal="left" vertical="center"/>
    </xf>
    <xf numFmtId="0" fontId="8" fillId="0" borderId="35" xfId="0" applyNumberFormat="1" applyFont="1" applyFill="1" applyBorder="1" applyAlignment="1" applyProtection="1">
      <alignment horizontal="left" vertical="center"/>
    </xf>
    <xf numFmtId="0" fontId="8" fillId="0" borderId="39" xfId="0" applyNumberFormat="1" applyFont="1" applyFill="1" applyBorder="1" applyAlignment="1" applyProtection="1">
      <alignment horizontal="left" vertical="center"/>
    </xf>
    <xf numFmtId="0" fontId="7" fillId="0" borderId="41" xfId="0" applyNumberFormat="1" applyFont="1" applyFill="1" applyBorder="1" applyAlignment="1" applyProtection="1">
      <alignment horizontal="left" vertical="center"/>
    </xf>
    <xf numFmtId="0" fontId="3" fillId="0" borderId="42" xfId="0" applyNumberFormat="1" applyFont="1" applyFill="1" applyBorder="1" applyAlignment="1" applyProtection="1">
      <alignment horizontal="left" vertical="center"/>
    </xf>
    <xf numFmtId="0" fontId="3" fillId="0" borderId="43" xfId="0" applyNumberFormat="1" applyFont="1" applyFill="1" applyBorder="1" applyAlignment="1" applyProtection="1">
      <alignment horizontal="left" vertical="center"/>
    </xf>
    <xf numFmtId="0" fontId="3" fillId="0" borderId="44" xfId="0" applyNumberFormat="1" applyFont="1" applyFill="1" applyBorder="1" applyAlignment="1" applyProtection="1">
      <alignment horizontal="left" vertical="center"/>
    </xf>
    <xf numFmtId="0" fontId="2" fillId="0" borderId="20" xfId="0" applyNumberFormat="1" applyFont="1" applyFill="1" applyBorder="1" applyAlignment="1" applyProtection="1">
      <alignment horizontal="left" vertical="center"/>
    </xf>
    <xf numFmtId="0" fontId="2" fillId="0" borderId="28" xfId="0" applyNumberFormat="1" applyFont="1" applyFill="1" applyBorder="1" applyAlignment="1" applyProtection="1">
      <alignment horizontal="left" vertical="center"/>
    </xf>
    <xf numFmtId="0" fontId="2" fillId="0" borderId="18" xfId="0" applyNumberFormat="1" applyFont="1" applyFill="1" applyBorder="1" applyAlignment="1" applyProtection="1">
      <alignment horizontal="left" vertical="center"/>
    </xf>
    <xf numFmtId="0" fontId="2" fillId="0" borderId="46" xfId="0" applyNumberFormat="1" applyFont="1" applyFill="1" applyBorder="1" applyAlignment="1" applyProtection="1">
      <alignment horizontal="left" vertical="center"/>
    </xf>
    <xf numFmtId="0" fontId="2" fillId="0" borderId="47" xfId="0" applyNumberFormat="1" applyFont="1" applyFill="1" applyBorder="1" applyAlignment="1" applyProtection="1">
      <alignment horizontal="left" vertical="center"/>
    </xf>
    <xf numFmtId="0" fontId="2" fillId="0" borderId="48" xfId="0" applyNumberFormat="1" applyFont="1" applyFill="1" applyBorder="1" applyAlignment="1" applyProtection="1">
      <alignment horizontal="left" vertical="center"/>
    </xf>
    <xf numFmtId="0" fontId="3" fillId="0" borderId="50" xfId="0" applyNumberFormat="1" applyFont="1" applyFill="1" applyBorder="1" applyAlignment="1" applyProtection="1">
      <alignment horizontal="left" vertical="center"/>
    </xf>
    <xf numFmtId="0" fontId="3" fillId="0" borderId="51" xfId="0" applyNumberFormat="1" applyFont="1" applyFill="1" applyBorder="1" applyAlignment="1" applyProtection="1">
      <alignment horizontal="left" vertical="center"/>
    </xf>
    <xf numFmtId="0" fontId="3" fillId="0" borderId="52" xfId="0" applyNumberFormat="1" applyFont="1" applyFill="1" applyBorder="1" applyAlignment="1" applyProtection="1">
      <alignment horizontal="left" vertical="center"/>
    </xf>
    <xf numFmtId="0" fontId="7" fillId="0" borderId="50" xfId="0" applyNumberFormat="1" applyFont="1" applyFill="1" applyBorder="1" applyAlignment="1" applyProtection="1">
      <alignment horizontal="left" vertical="center"/>
    </xf>
    <xf numFmtId="0" fontId="7" fillId="0" borderId="51" xfId="0" applyNumberFormat="1" applyFont="1" applyFill="1" applyBorder="1" applyAlignment="1" applyProtection="1">
      <alignment horizontal="left" vertical="center"/>
    </xf>
    <xf numFmtId="0" fontId="7" fillId="0" borderId="52" xfId="0" applyNumberFormat="1" applyFont="1" applyFill="1" applyBorder="1" applyAlignment="1" applyProtection="1">
      <alignment horizontal="left" vertical="center"/>
    </xf>
    <xf numFmtId="4" fontId="7" fillId="0" borderId="54" xfId="0" applyNumberFormat="1" applyFont="1" applyFill="1" applyBorder="1" applyAlignment="1" applyProtection="1">
      <alignment horizontal="right" vertical="center"/>
    </xf>
    <xf numFmtId="0" fontId="7" fillId="0" borderId="51" xfId="0" applyNumberFormat="1" applyFont="1" applyFill="1" applyBorder="1" applyAlignment="1" applyProtection="1">
      <alignment horizontal="right" vertical="center"/>
    </xf>
    <xf numFmtId="0" fontId="7" fillId="0" borderId="52" xfId="0" applyNumberFormat="1" applyFont="1" applyFill="1" applyBorder="1" applyAlignment="1" applyProtection="1">
      <alignment horizontal="right" vertical="center"/>
    </xf>
    <xf numFmtId="0" fontId="2" fillId="0" borderId="55" xfId="0" applyNumberFormat="1" applyFont="1" applyFill="1" applyBorder="1" applyAlignment="1" applyProtection="1">
      <alignment horizontal="left" vertical="center"/>
    </xf>
    <xf numFmtId="0" fontId="2" fillId="0" borderId="41" xfId="0" applyNumberFormat="1" applyFont="1" applyFill="1" applyBorder="1" applyAlignment="1" applyProtection="1">
      <alignment horizontal="left" vertical="center"/>
    </xf>
    <xf numFmtId="0" fontId="2" fillId="0" borderId="56" xfId="0" applyNumberFormat="1" applyFont="1" applyFill="1" applyBorder="1" applyAlignment="1" applyProtection="1">
      <alignment horizontal="left" vertical="center"/>
    </xf>
    <xf numFmtId="0" fontId="2" fillId="0" borderId="58" xfId="0" applyNumberFormat="1" applyFont="1" applyFill="1" applyBorder="1" applyAlignment="1" applyProtection="1">
      <alignment horizontal="left" vertical="center"/>
    </xf>
    <xf numFmtId="0" fontId="2" fillId="0" borderId="30" xfId="0" applyNumberFormat="1" applyFont="1" applyFill="1" applyBorder="1" applyAlignment="1" applyProtection="1">
      <alignment horizontal="left" vertical="center"/>
    </xf>
    <xf numFmtId="0" fontId="2" fillId="0" borderId="59" xfId="0" applyNumberFormat="1" applyFont="1" applyFill="1" applyBorder="1" applyAlignment="1" applyProtection="1">
      <alignment horizontal="left" vertical="center"/>
    </xf>
    <xf numFmtId="0" fontId="3" fillId="0" borderId="62" xfId="0" applyNumberFormat="1" applyFont="1" applyFill="1" applyBorder="1" applyAlignment="1" applyProtection="1">
      <alignment horizontal="left" vertical="center"/>
    </xf>
    <xf numFmtId="0" fontId="3" fillId="0" borderId="37" xfId="0" applyNumberFormat="1" applyFont="1" applyFill="1" applyBorder="1" applyAlignment="1" applyProtection="1">
      <alignment horizontal="left" vertical="center"/>
    </xf>
    <xf numFmtId="0" fontId="3" fillId="0" borderId="63" xfId="0" applyNumberFormat="1" applyFont="1" applyFill="1" applyBorder="1" applyAlignment="1" applyProtection="1">
      <alignment horizontal="left" vertical="center"/>
    </xf>
    <xf numFmtId="0" fontId="2" fillId="0" borderId="40" xfId="0" applyNumberFormat="1" applyFont="1" applyFill="1" applyBorder="1" applyAlignment="1" applyProtection="1">
      <alignment horizontal="left" vertical="center"/>
    </xf>
    <xf numFmtId="0" fontId="3" fillId="0" borderId="68" xfId="0" applyNumberFormat="1" applyFont="1" applyFill="1" applyBorder="1" applyAlignment="1" applyProtection="1">
      <alignment horizontal="left" vertical="center"/>
    </xf>
    <xf numFmtId="0" fontId="2" fillId="3" borderId="3" xfId="0" applyNumberFormat="1" applyFont="1" applyFill="1" applyBorder="1" applyAlignment="1" applyProtection="1">
      <alignment horizontal="left" vertical="center"/>
      <protection locked="0"/>
    </xf>
    <xf numFmtId="0" fontId="2" fillId="3" borderId="0" xfId="0" applyNumberFormat="1" applyFont="1" applyFill="1" applyBorder="1" applyAlignment="1" applyProtection="1">
      <alignment horizontal="left" vertical="center"/>
      <protection locked="0"/>
    </xf>
    <xf numFmtId="0" fontId="2" fillId="3" borderId="41" xfId="0" applyNumberFormat="1" applyFont="1" applyFill="1" applyBorder="1" applyAlignment="1" applyProtection="1">
      <alignment horizontal="left" vertical="center"/>
      <protection locked="0"/>
    </xf>
    <xf numFmtId="0" fontId="2" fillId="3" borderId="6" xfId="0" applyNumberFormat="1" applyFont="1" applyFill="1" applyBorder="1" applyAlignment="1" applyProtection="1">
      <alignment horizontal="left" vertical="center"/>
      <protection locked="0"/>
    </xf>
    <xf numFmtId="0" fontId="2" fillId="3" borderId="8" xfId="0" applyNumberFormat="1" applyFont="1" applyFill="1" applyBorder="1" applyAlignment="1" applyProtection="1">
      <alignment horizontal="left" vertical="center"/>
      <protection locked="0"/>
    </xf>
    <xf numFmtId="0" fontId="2" fillId="3" borderId="9" xfId="0" applyNumberFormat="1" applyFont="1" applyFill="1" applyBorder="1" applyAlignment="1" applyProtection="1">
      <alignment horizontal="left" vertical="center"/>
      <protection locked="0"/>
    </xf>
    <xf numFmtId="0" fontId="3" fillId="0" borderId="58" xfId="0" applyNumberFormat="1" applyFont="1" applyFill="1" applyBorder="1" applyAlignment="1" applyProtection="1">
      <alignment horizontal="left" vertical="center"/>
    </xf>
    <xf numFmtId="0" fontId="3" fillId="0" borderId="71" xfId="0" applyNumberFormat="1" applyFont="1" applyFill="1" applyBorder="1" applyAlignment="1" applyProtection="1">
      <alignment horizontal="left" vertical="center"/>
    </xf>
    <xf numFmtId="0" fontId="11" fillId="4" borderId="40" xfId="0" applyNumberFormat="1" applyFont="1" applyFill="1" applyBorder="1" applyAlignment="1" applyProtection="1">
      <alignment horizontal="left" vertical="center" wrapText="1"/>
    </xf>
    <xf numFmtId="0" fontId="11" fillId="4" borderId="40" xfId="0" applyNumberFormat="1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>
      <alignment horizontal="left" vertical="center" wrapText="1"/>
    </xf>
    <xf numFmtId="0" fontId="3" fillId="2" borderId="0" xfId="0" applyNumberFormat="1" applyFont="1" applyFill="1" applyBorder="1" applyAlignment="1" applyProtection="1">
      <alignment horizontal="left" vertical="center"/>
    </xf>
    <xf numFmtId="0" fontId="11" fillId="4" borderId="0" xfId="0" applyNumberFormat="1" applyFont="1" applyFill="1" applyBorder="1" applyAlignment="1" applyProtection="1">
      <alignment horizontal="left" vertical="center" wrapText="1"/>
    </xf>
    <xf numFmtId="0" fontId="11" fillId="4" borderId="0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Border="1" applyAlignment="1" applyProtection="1">
      <alignment horizontal="left" vertical="center" wrapText="1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12" fillId="3" borderId="0" xfId="0" applyNumberFormat="1" applyFont="1" applyFill="1" applyBorder="1" applyAlignment="1" applyProtection="1">
      <alignment horizontal="left" vertical="center"/>
      <protection locked="0"/>
    </xf>
    <xf numFmtId="0" fontId="12" fillId="0" borderId="6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0" cy="0"/>
    <xdr:pic>
      <xdr:nvPicPr>
        <xdr:cNvPr id="0" name="Obrázek 429496729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0" cy="0"/>
    <xdr:pic>
      <xdr:nvPicPr>
        <xdr:cNvPr id="0" name="Obrázek 429496729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0" cy="0"/>
    <xdr:pic>
      <xdr:nvPicPr>
        <xdr:cNvPr id="0" name="Obrázek 429496729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0" cy="0"/>
    <xdr:pic>
      <xdr:nvPicPr>
        <xdr:cNvPr id="0" name="Obrázek 429496729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7"/>
  <sheetViews>
    <sheetView tabSelected="1" workbookViewId="0">
      <selection activeCell="A37" sqref="A37:I37"/>
    </sheetView>
  </sheetViews>
  <sheetFormatPr defaultColWidth="12.140625" defaultRowHeight="15" customHeight="1"/>
  <cols>
    <col min="1" max="1" width="9.140625" customWidth="1"/>
    <col min="2" max="2" width="12.85546875" customWidth="1"/>
    <col min="3" max="3" width="27.140625" customWidth="1"/>
    <col min="4" max="4" width="10" customWidth="1"/>
    <col min="5" max="5" width="14" customWidth="1"/>
    <col min="6" max="6" width="27.140625" customWidth="1"/>
    <col min="7" max="7" width="9.140625" customWidth="1"/>
    <col min="8" max="8" width="12.85546875" customWidth="1"/>
    <col min="9" max="9" width="27.140625" customWidth="1"/>
  </cols>
  <sheetData>
    <row r="1" spans="1:9" ht="54.75" customHeight="1">
      <c r="A1" s="82" t="s">
        <v>0</v>
      </c>
      <c r="B1" s="83"/>
      <c r="C1" s="83"/>
      <c r="D1" s="83"/>
      <c r="E1" s="83"/>
      <c r="F1" s="83"/>
      <c r="G1" s="83"/>
      <c r="H1" s="83"/>
      <c r="I1" s="83"/>
    </row>
    <row r="2" spans="1:9">
      <c r="A2" s="84" t="s">
        <v>1</v>
      </c>
      <c r="B2" s="85"/>
      <c r="C2" s="93" t="str">
        <f>'Stavební rozpočet'!D2</f>
        <v>005-2025 Bohdalov - chodník od hráze Záhumenního rybníka do městysu</v>
      </c>
      <c r="D2" s="94"/>
      <c r="E2" s="91" t="s">
        <v>2</v>
      </c>
      <c r="F2" s="91" t="str">
        <f>'Stavební rozpočet'!J2</f>
        <v> </v>
      </c>
      <c r="G2" s="85"/>
      <c r="H2" s="91" t="s">
        <v>3</v>
      </c>
      <c r="I2" s="96" t="s">
        <v>4</v>
      </c>
    </row>
    <row r="3" spans="1:9" ht="15" customHeight="1">
      <c r="A3" s="86"/>
      <c r="B3" s="87"/>
      <c r="C3" s="95"/>
      <c r="D3" s="95"/>
      <c r="E3" s="87"/>
      <c r="F3" s="87"/>
      <c r="G3" s="87"/>
      <c r="H3" s="87"/>
      <c r="I3" s="97"/>
    </row>
    <row r="4" spans="1:9">
      <c r="A4" s="88" t="s">
        <v>5</v>
      </c>
      <c r="B4" s="87"/>
      <c r="C4" s="92" t="str">
        <f>'Stavební rozpočet'!D4</f>
        <v xml:space="preserve"> </v>
      </c>
      <c r="D4" s="87"/>
      <c r="E4" s="92" t="s">
        <v>6</v>
      </c>
      <c r="F4" s="92" t="str">
        <f>'Stavební rozpočet'!J4</f>
        <v> </v>
      </c>
      <c r="G4" s="87"/>
      <c r="H4" s="92" t="s">
        <v>3</v>
      </c>
      <c r="I4" s="97" t="s">
        <v>4</v>
      </c>
    </row>
    <row r="5" spans="1:9" ht="15" customHeight="1">
      <c r="A5" s="86"/>
      <c r="B5" s="87"/>
      <c r="C5" s="87"/>
      <c r="D5" s="87"/>
      <c r="E5" s="87"/>
      <c r="F5" s="87"/>
      <c r="G5" s="87"/>
      <c r="H5" s="87"/>
      <c r="I5" s="97"/>
    </row>
    <row r="6" spans="1:9">
      <c r="A6" s="88" t="s">
        <v>7</v>
      </c>
      <c r="B6" s="87"/>
      <c r="C6" s="92" t="str">
        <f>'Stavební rozpočet'!D6</f>
        <v xml:space="preserve"> </v>
      </c>
      <c r="D6" s="87"/>
      <c r="E6" s="92" t="s">
        <v>8</v>
      </c>
      <c r="F6" s="92" t="str">
        <f>'Stavební rozpočet'!J6</f>
        <v> </v>
      </c>
      <c r="G6" s="87"/>
      <c r="H6" s="92" t="s">
        <v>3</v>
      </c>
      <c r="I6" s="97" t="s">
        <v>4</v>
      </c>
    </row>
    <row r="7" spans="1:9" ht="15" customHeight="1">
      <c r="A7" s="86"/>
      <c r="B7" s="87"/>
      <c r="C7" s="87"/>
      <c r="D7" s="87"/>
      <c r="E7" s="87"/>
      <c r="F7" s="87"/>
      <c r="G7" s="87"/>
      <c r="H7" s="87"/>
      <c r="I7" s="97"/>
    </row>
    <row r="8" spans="1:9">
      <c r="A8" s="88" t="s">
        <v>9</v>
      </c>
      <c r="B8" s="87"/>
      <c r="C8" s="92" t="str">
        <f>'Stavební rozpočet'!H4</f>
        <v xml:space="preserve"> </v>
      </c>
      <c r="D8" s="87"/>
      <c r="E8" s="92" t="s">
        <v>10</v>
      </c>
      <c r="F8" s="92" t="str">
        <f>'Stavební rozpočet'!H6</f>
        <v xml:space="preserve"> </v>
      </c>
      <c r="G8" s="87"/>
      <c r="H8" s="87" t="s">
        <v>11</v>
      </c>
      <c r="I8" s="98">
        <v>320</v>
      </c>
    </row>
    <row r="9" spans="1:9">
      <c r="A9" s="86"/>
      <c r="B9" s="87"/>
      <c r="C9" s="87"/>
      <c r="D9" s="87"/>
      <c r="E9" s="87"/>
      <c r="F9" s="87"/>
      <c r="G9" s="87"/>
      <c r="H9" s="87"/>
      <c r="I9" s="97"/>
    </row>
    <row r="10" spans="1:9">
      <c r="A10" s="88" t="s">
        <v>12</v>
      </c>
      <c r="B10" s="87"/>
      <c r="C10" s="92" t="str">
        <f>'Stavební rozpočet'!D8</f>
        <v xml:space="preserve"> </v>
      </c>
      <c r="D10" s="87"/>
      <c r="E10" s="92" t="s">
        <v>13</v>
      </c>
      <c r="F10" s="92" t="str">
        <f>'Stavební rozpočet'!J8</f>
        <v> </v>
      </c>
      <c r="G10" s="87"/>
      <c r="H10" s="87" t="s">
        <v>14</v>
      </c>
      <c r="I10" s="99">
        <f>'Stavební rozpočet'!H8</f>
        <v>0</v>
      </c>
    </row>
    <row r="11" spans="1:9">
      <c r="A11" s="89"/>
      <c r="B11" s="90"/>
      <c r="C11" s="90"/>
      <c r="D11" s="90"/>
      <c r="E11" s="90"/>
      <c r="F11" s="90"/>
      <c r="G11" s="90"/>
      <c r="H11" s="90"/>
      <c r="I11" s="100"/>
    </row>
    <row r="12" spans="1:9" ht="23.25">
      <c r="A12" s="101" t="s">
        <v>15</v>
      </c>
      <c r="B12" s="101"/>
      <c r="C12" s="101"/>
      <c r="D12" s="101"/>
      <c r="E12" s="101"/>
      <c r="F12" s="101"/>
      <c r="G12" s="101"/>
      <c r="H12" s="101"/>
      <c r="I12" s="101"/>
    </row>
    <row r="13" spans="1:9" ht="26.25" customHeight="1">
      <c r="A13" s="6" t="s">
        <v>16</v>
      </c>
      <c r="B13" s="102" t="s">
        <v>17</v>
      </c>
      <c r="C13" s="103"/>
      <c r="D13" s="7" t="s">
        <v>18</v>
      </c>
      <c r="E13" s="102" t="s">
        <v>19</v>
      </c>
      <c r="F13" s="103"/>
      <c r="G13" s="7" t="s">
        <v>20</v>
      </c>
      <c r="H13" s="102" t="s">
        <v>21</v>
      </c>
      <c r="I13" s="103"/>
    </row>
    <row r="14" spans="1:9" ht="15.75">
      <c r="A14" s="8" t="s">
        <v>22</v>
      </c>
      <c r="B14" s="9" t="s">
        <v>23</v>
      </c>
      <c r="C14" s="10">
        <f>SUM('Stavební rozpočet'!AB12:AB1242)</f>
        <v>0</v>
      </c>
      <c r="D14" s="110" t="s">
        <v>24</v>
      </c>
      <c r="E14" s="111"/>
      <c r="F14" s="10">
        <f>VORN!I15</f>
        <v>0</v>
      </c>
      <c r="G14" s="110" t="s">
        <v>25</v>
      </c>
      <c r="H14" s="111"/>
      <c r="I14" s="11">
        <f>VORN!I21</f>
        <v>0</v>
      </c>
    </row>
    <row r="15" spans="1:9" ht="15.75">
      <c r="A15" s="12" t="s">
        <v>4</v>
      </c>
      <c r="B15" s="9" t="s">
        <v>26</v>
      </c>
      <c r="C15" s="10">
        <f>SUM('Stavební rozpočet'!AC12:AC1242)</f>
        <v>0</v>
      </c>
      <c r="D15" s="110" t="s">
        <v>27</v>
      </c>
      <c r="E15" s="111"/>
      <c r="F15" s="10">
        <f>VORN!I16</f>
        <v>0</v>
      </c>
      <c r="G15" s="110" t="s">
        <v>28</v>
      </c>
      <c r="H15" s="111"/>
      <c r="I15" s="11">
        <f>VORN!I22</f>
        <v>0</v>
      </c>
    </row>
    <row r="16" spans="1:9" ht="15.75">
      <c r="A16" s="8" t="s">
        <v>29</v>
      </c>
      <c r="B16" s="9" t="s">
        <v>23</v>
      </c>
      <c r="C16" s="10">
        <f>SUM('Stavební rozpočet'!AD12:AD1242)</f>
        <v>0</v>
      </c>
      <c r="D16" s="110" t="s">
        <v>30</v>
      </c>
      <c r="E16" s="111"/>
      <c r="F16" s="10">
        <f>VORN!I17</f>
        <v>0</v>
      </c>
      <c r="G16" s="110" t="s">
        <v>31</v>
      </c>
      <c r="H16" s="111"/>
      <c r="I16" s="11">
        <f>VORN!I23</f>
        <v>0</v>
      </c>
    </row>
    <row r="17" spans="1:9" ht="15.75">
      <c r="A17" s="12" t="s">
        <v>4</v>
      </c>
      <c r="B17" s="9" t="s">
        <v>26</v>
      </c>
      <c r="C17" s="10">
        <f>SUM('Stavební rozpočet'!AE12:AE1242)</f>
        <v>0</v>
      </c>
      <c r="D17" s="110" t="s">
        <v>4</v>
      </c>
      <c r="E17" s="111"/>
      <c r="F17" s="11" t="s">
        <v>4</v>
      </c>
      <c r="G17" s="110" t="s">
        <v>32</v>
      </c>
      <c r="H17" s="111"/>
      <c r="I17" s="11">
        <f>VORN!I24</f>
        <v>0</v>
      </c>
    </row>
    <row r="18" spans="1:9" ht="15.75">
      <c r="A18" s="8" t="s">
        <v>33</v>
      </c>
      <c r="B18" s="9" t="s">
        <v>23</v>
      </c>
      <c r="C18" s="10">
        <f>SUM('Stavební rozpočet'!AF12:AF1242)</f>
        <v>0</v>
      </c>
      <c r="D18" s="110" t="s">
        <v>4</v>
      </c>
      <c r="E18" s="111"/>
      <c r="F18" s="11" t="s">
        <v>4</v>
      </c>
      <c r="G18" s="110" t="s">
        <v>34</v>
      </c>
      <c r="H18" s="111"/>
      <c r="I18" s="11">
        <f>VORN!I25</f>
        <v>0</v>
      </c>
    </row>
    <row r="19" spans="1:9" ht="15.75">
      <c r="A19" s="12" t="s">
        <v>4</v>
      </c>
      <c r="B19" s="9" t="s">
        <v>26</v>
      </c>
      <c r="C19" s="10">
        <f>SUM('Stavební rozpočet'!AG12:AG1242)</f>
        <v>0</v>
      </c>
      <c r="D19" s="110" t="s">
        <v>4</v>
      </c>
      <c r="E19" s="111"/>
      <c r="F19" s="11" t="s">
        <v>4</v>
      </c>
      <c r="G19" s="110" t="s">
        <v>35</v>
      </c>
      <c r="H19" s="111"/>
      <c r="I19" s="11">
        <f>VORN!I26</f>
        <v>0</v>
      </c>
    </row>
    <row r="20" spans="1:9" ht="15.75">
      <c r="A20" s="104" t="s">
        <v>36</v>
      </c>
      <c r="B20" s="105"/>
      <c r="C20" s="10">
        <f>SUM('Stavební rozpočet'!AH12:AH1242)</f>
        <v>0</v>
      </c>
      <c r="D20" s="110" t="s">
        <v>4</v>
      </c>
      <c r="E20" s="111"/>
      <c r="F20" s="11" t="s">
        <v>4</v>
      </c>
      <c r="G20" s="110" t="s">
        <v>4</v>
      </c>
      <c r="H20" s="111"/>
      <c r="I20" s="11" t="s">
        <v>4</v>
      </c>
    </row>
    <row r="21" spans="1:9" ht="15.75">
      <c r="A21" s="106" t="s">
        <v>37</v>
      </c>
      <c r="B21" s="107"/>
      <c r="C21" s="13">
        <f>SUM('Stavební rozpočet'!Z12:Z1242)</f>
        <v>0</v>
      </c>
      <c r="D21" s="112" t="s">
        <v>4</v>
      </c>
      <c r="E21" s="113"/>
      <c r="F21" s="14" t="s">
        <v>4</v>
      </c>
      <c r="G21" s="112" t="s">
        <v>4</v>
      </c>
      <c r="H21" s="113"/>
      <c r="I21" s="14" t="s">
        <v>4</v>
      </c>
    </row>
    <row r="22" spans="1:9" ht="16.5" customHeight="1">
      <c r="A22" s="108" t="s">
        <v>38</v>
      </c>
      <c r="B22" s="109"/>
      <c r="C22" s="15">
        <f>ROUND(SUM(C14:C21),0)</f>
        <v>0</v>
      </c>
      <c r="D22" s="114" t="s">
        <v>39</v>
      </c>
      <c r="E22" s="109"/>
      <c r="F22" s="15">
        <f>SUM(F14:F21)</f>
        <v>0</v>
      </c>
      <c r="G22" s="114" t="s">
        <v>40</v>
      </c>
      <c r="H22" s="109"/>
      <c r="I22" s="15">
        <f>SUM(I14:I21)</f>
        <v>0</v>
      </c>
    </row>
    <row r="23" spans="1:9" ht="15.75">
      <c r="D23" s="104" t="s">
        <v>41</v>
      </c>
      <c r="E23" s="105"/>
      <c r="F23" s="16">
        <v>0</v>
      </c>
      <c r="G23" s="115" t="s">
        <v>42</v>
      </c>
      <c r="H23" s="105"/>
      <c r="I23" s="10">
        <v>0</v>
      </c>
    </row>
    <row r="24" spans="1:9" ht="15.75">
      <c r="G24" s="104" t="s">
        <v>43</v>
      </c>
      <c r="H24" s="105"/>
      <c r="I24" s="13">
        <f>vorn_sum</f>
        <v>0</v>
      </c>
    </row>
    <row r="25" spans="1:9" ht="15.75">
      <c r="G25" s="104" t="s">
        <v>44</v>
      </c>
      <c r="H25" s="105"/>
      <c r="I25" s="15">
        <v>0</v>
      </c>
    </row>
    <row r="27" spans="1:9" ht="15.75">
      <c r="A27" s="116" t="s">
        <v>45</v>
      </c>
      <c r="B27" s="117"/>
      <c r="C27" s="17">
        <f>ROUND(SUM('Stavební rozpočet'!AJ12:AJ1242),0)</f>
        <v>0</v>
      </c>
    </row>
    <row r="28" spans="1:9" ht="15.75">
      <c r="A28" s="118" t="s">
        <v>46</v>
      </c>
      <c r="B28" s="119"/>
      <c r="C28" s="18">
        <f>ROUND(SUM('Stavební rozpočet'!AK12:AK1242),0)</f>
        <v>0</v>
      </c>
      <c r="D28" s="120" t="s">
        <v>47</v>
      </c>
      <c r="E28" s="117"/>
      <c r="F28" s="17">
        <f>ROUND(C28*(12/100),2)</f>
        <v>0</v>
      </c>
      <c r="G28" s="120" t="s">
        <v>48</v>
      </c>
      <c r="H28" s="117"/>
      <c r="I28" s="17">
        <f>ROUND(SUM(C27:C29),0)</f>
        <v>0</v>
      </c>
    </row>
    <row r="29" spans="1:9" ht="15.75">
      <c r="A29" s="118" t="s">
        <v>49</v>
      </c>
      <c r="B29" s="119"/>
      <c r="C29" s="18">
        <f>ROUND(SUM('Stavební rozpočet'!AL12:AL1242),0)</f>
        <v>0</v>
      </c>
      <c r="D29" s="121" t="s">
        <v>50</v>
      </c>
      <c r="E29" s="119"/>
      <c r="F29" s="18">
        <f>ROUND(C29*(21/100),2)</f>
        <v>0</v>
      </c>
      <c r="G29" s="121" t="s">
        <v>51</v>
      </c>
      <c r="H29" s="119"/>
      <c r="I29" s="18">
        <f>ROUND(SUM(F28:F29)+I28,0)</f>
        <v>0</v>
      </c>
    </row>
    <row r="31" spans="1:9">
      <c r="A31" s="122" t="s">
        <v>52</v>
      </c>
      <c r="B31" s="123"/>
      <c r="C31" s="124"/>
      <c r="D31" s="131" t="s">
        <v>53</v>
      </c>
      <c r="E31" s="123"/>
      <c r="F31" s="124"/>
      <c r="G31" s="131" t="s">
        <v>54</v>
      </c>
      <c r="H31" s="123"/>
      <c r="I31" s="124"/>
    </row>
    <row r="32" spans="1:9">
      <c r="A32" s="125" t="s">
        <v>4</v>
      </c>
      <c r="B32" s="126"/>
      <c r="C32" s="127"/>
      <c r="D32" s="132" t="s">
        <v>4</v>
      </c>
      <c r="E32" s="126"/>
      <c r="F32" s="127"/>
      <c r="G32" s="132" t="s">
        <v>4</v>
      </c>
      <c r="H32" s="126"/>
      <c r="I32" s="127"/>
    </row>
    <row r="33" spans="1:9">
      <c r="A33" s="125" t="s">
        <v>4</v>
      </c>
      <c r="B33" s="126"/>
      <c r="C33" s="127"/>
      <c r="D33" s="132" t="s">
        <v>4</v>
      </c>
      <c r="E33" s="126"/>
      <c r="F33" s="127"/>
      <c r="G33" s="132" t="s">
        <v>4</v>
      </c>
      <c r="H33" s="126"/>
      <c r="I33" s="127"/>
    </row>
    <row r="34" spans="1:9">
      <c r="A34" s="125" t="s">
        <v>4</v>
      </c>
      <c r="B34" s="126"/>
      <c r="C34" s="127"/>
      <c r="D34" s="132" t="s">
        <v>4</v>
      </c>
      <c r="E34" s="126"/>
      <c r="F34" s="127"/>
      <c r="G34" s="132" t="s">
        <v>4</v>
      </c>
      <c r="H34" s="126"/>
      <c r="I34" s="127"/>
    </row>
    <row r="35" spans="1:9">
      <c r="A35" s="128" t="s">
        <v>55</v>
      </c>
      <c r="B35" s="129"/>
      <c r="C35" s="130"/>
      <c r="D35" s="133" t="s">
        <v>55</v>
      </c>
      <c r="E35" s="129"/>
      <c r="F35" s="130"/>
      <c r="G35" s="133" t="s">
        <v>55</v>
      </c>
      <c r="H35" s="129"/>
      <c r="I35" s="130"/>
    </row>
    <row r="36" spans="1:9">
      <c r="A36" s="19" t="s">
        <v>56</v>
      </c>
    </row>
    <row r="37" spans="1:9" ht="12.75" customHeight="1">
      <c r="A37" s="92" t="s">
        <v>4</v>
      </c>
      <c r="B37" s="87"/>
      <c r="C37" s="87"/>
      <c r="D37" s="87"/>
      <c r="E37" s="87"/>
      <c r="F37" s="87"/>
      <c r="G37" s="87"/>
      <c r="H37" s="87"/>
      <c r="I37" s="87"/>
    </row>
  </sheetData>
  <sheetProtection password="CF7A" sheet="1"/>
  <mergeCells count="83"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I10:I11"/>
    <mergeCell ref="A12:I12"/>
    <mergeCell ref="B13:C13"/>
    <mergeCell ref="E13:F13"/>
    <mergeCell ref="H13:I13"/>
    <mergeCell ref="F10:G11"/>
    <mergeCell ref="H2:H3"/>
    <mergeCell ref="H4:H5"/>
    <mergeCell ref="H6:H7"/>
    <mergeCell ref="H8:H9"/>
    <mergeCell ref="H10:H11"/>
    <mergeCell ref="A10:B11"/>
    <mergeCell ref="E2:E3"/>
    <mergeCell ref="E4:E5"/>
    <mergeCell ref="E6:E7"/>
    <mergeCell ref="E8:E9"/>
    <mergeCell ref="E10:E11"/>
    <mergeCell ref="C2:D3"/>
    <mergeCell ref="C4:D5"/>
    <mergeCell ref="C6:D7"/>
    <mergeCell ref="C8:D9"/>
    <mergeCell ref="C10:D11"/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</mergeCells>
  <pageMargins left="0.393999993801117" right="0.393999993801117" top="0.59100002050399802" bottom="0.59100002050399802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5"/>
  <sheetViews>
    <sheetView workbookViewId="0">
      <selection activeCell="A45" sqref="A45:E45"/>
    </sheetView>
  </sheetViews>
  <sheetFormatPr defaultColWidth="12.140625" defaultRowHeight="15" customHeight="1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7.140625" customWidth="1"/>
    <col min="9" max="9" width="22.85546875" customWidth="1"/>
  </cols>
  <sheetData>
    <row r="1" spans="1:9" ht="54.75" customHeight="1">
      <c r="A1" s="82" t="s">
        <v>57</v>
      </c>
      <c r="B1" s="83"/>
      <c r="C1" s="83"/>
      <c r="D1" s="83"/>
      <c r="E1" s="83"/>
      <c r="F1" s="83"/>
      <c r="G1" s="83"/>
      <c r="H1" s="83"/>
      <c r="I1" s="83"/>
    </row>
    <row r="2" spans="1:9">
      <c r="A2" s="84" t="s">
        <v>1</v>
      </c>
      <c r="B2" s="85"/>
      <c r="C2" s="93" t="str">
        <f>'Stavební rozpočet'!D2</f>
        <v>005-2025 Bohdalov - chodník od hráze Záhumenního rybníka do městysu</v>
      </c>
      <c r="D2" s="94"/>
      <c r="E2" s="91" t="s">
        <v>2</v>
      </c>
      <c r="F2" s="91" t="str">
        <f>'Stavební rozpočet'!J2</f>
        <v> </v>
      </c>
      <c r="G2" s="85"/>
      <c r="H2" s="91" t="s">
        <v>3</v>
      </c>
      <c r="I2" s="96" t="s">
        <v>4</v>
      </c>
    </row>
    <row r="3" spans="1:9" ht="25.5" customHeight="1">
      <c r="A3" s="86"/>
      <c r="B3" s="87"/>
      <c r="C3" s="95"/>
      <c r="D3" s="95"/>
      <c r="E3" s="87"/>
      <c r="F3" s="87"/>
      <c r="G3" s="87"/>
      <c r="H3" s="87"/>
      <c r="I3" s="97"/>
    </row>
    <row r="4" spans="1:9">
      <c r="A4" s="88" t="s">
        <v>5</v>
      </c>
      <c r="B4" s="87"/>
      <c r="C4" s="92" t="str">
        <f>'Stavební rozpočet'!D4</f>
        <v xml:space="preserve"> </v>
      </c>
      <c r="D4" s="87"/>
      <c r="E4" s="92" t="s">
        <v>6</v>
      </c>
      <c r="F4" s="92" t="str">
        <f>'Stavební rozpočet'!J4</f>
        <v> </v>
      </c>
      <c r="G4" s="87"/>
      <c r="H4" s="92" t="s">
        <v>3</v>
      </c>
      <c r="I4" s="97" t="s">
        <v>4</v>
      </c>
    </row>
    <row r="5" spans="1:9" ht="15" customHeight="1">
      <c r="A5" s="86"/>
      <c r="B5" s="87"/>
      <c r="C5" s="87"/>
      <c r="D5" s="87"/>
      <c r="E5" s="87"/>
      <c r="F5" s="87"/>
      <c r="G5" s="87"/>
      <c r="H5" s="87"/>
      <c r="I5" s="97"/>
    </row>
    <row r="6" spans="1:9">
      <c r="A6" s="88" t="s">
        <v>7</v>
      </c>
      <c r="B6" s="87"/>
      <c r="C6" s="92" t="str">
        <f>'Stavební rozpočet'!D6</f>
        <v xml:space="preserve"> </v>
      </c>
      <c r="D6" s="87"/>
      <c r="E6" s="92" t="s">
        <v>8</v>
      </c>
      <c r="F6" s="92" t="str">
        <f>'Stavební rozpočet'!J6</f>
        <v> </v>
      </c>
      <c r="G6" s="87"/>
      <c r="H6" s="92" t="s">
        <v>3</v>
      </c>
      <c r="I6" s="97" t="s">
        <v>4</v>
      </c>
    </row>
    <row r="7" spans="1:9" ht="15" customHeight="1">
      <c r="A7" s="86"/>
      <c r="B7" s="87"/>
      <c r="C7" s="87"/>
      <c r="D7" s="87"/>
      <c r="E7" s="87"/>
      <c r="F7" s="87"/>
      <c r="G7" s="87"/>
      <c r="H7" s="87"/>
      <c r="I7" s="97"/>
    </row>
    <row r="8" spans="1:9">
      <c r="A8" s="88" t="s">
        <v>9</v>
      </c>
      <c r="B8" s="87"/>
      <c r="C8" s="92" t="str">
        <f>'Stavební rozpočet'!H4</f>
        <v xml:space="preserve"> </v>
      </c>
      <c r="D8" s="87"/>
      <c r="E8" s="92" t="s">
        <v>10</v>
      </c>
      <c r="F8" s="92" t="str">
        <f>'Stavební rozpočet'!H6</f>
        <v xml:space="preserve"> </v>
      </c>
      <c r="G8" s="87"/>
      <c r="H8" s="87" t="s">
        <v>11</v>
      </c>
      <c r="I8" s="98">
        <v>320</v>
      </c>
    </row>
    <row r="9" spans="1:9">
      <c r="A9" s="86"/>
      <c r="B9" s="87"/>
      <c r="C9" s="87"/>
      <c r="D9" s="87"/>
      <c r="E9" s="87"/>
      <c r="F9" s="87"/>
      <c r="G9" s="87"/>
      <c r="H9" s="87"/>
      <c r="I9" s="97"/>
    </row>
    <row r="10" spans="1:9">
      <c r="A10" s="88" t="s">
        <v>12</v>
      </c>
      <c r="B10" s="87"/>
      <c r="C10" s="92" t="str">
        <f>'Stavební rozpočet'!D8</f>
        <v xml:space="preserve"> </v>
      </c>
      <c r="D10" s="87"/>
      <c r="E10" s="92" t="s">
        <v>13</v>
      </c>
      <c r="F10" s="92" t="str">
        <f>'Stavební rozpočet'!J8</f>
        <v> </v>
      </c>
      <c r="G10" s="87"/>
      <c r="H10" s="87" t="s">
        <v>14</v>
      </c>
      <c r="I10" s="99">
        <f>'Stavební rozpočet'!H8</f>
        <v>0</v>
      </c>
    </row>
    <row r="11" spans="1:9">
      <c r="A11" s="89"/>
      <c r="B11" s="90"/>
      <c r="C11" s="90"/>
      <c r="D11" s="90"/>
      <c r="E11" s="90"/>
      <c r="F11" s="90"/>
      <c r="G11" s="90"/>
      <c r="H11" s="90"/>
      <c r="I11" s="100"/>
    </row>
    <row r="13" spans="1:9" ht="15.75">
      <c r="A13" s="134" t="s">
        <v>58</v>
      </c>
      <c r="B13" s="134"/>
      <c r="C13" s="134"/>
      <c r="D13" s="134"/>
      <c r="E13" s="134"/>
    </row>
    <row r="14" spans="1:9">
      <c r="A14" s="135" t="s">
        <v>59</v>
      </c>
      <c r="B14" s="136"/>
      <c r="C14" s="136"/>
      <c r="D14" s="136"/>
      <c r="E14" s="137"/>
      <c r="F14" s="20" t="s">
        <v>60</v>
      </c>
      <c r="G14" s="20" t="s">
        <v>61</v>
      </c>
      <c r="H14" s="20" t="s">
        <v>62</v>
      </c>
      <c r="I14" s="20" t="s">
        <v>60</v>
      </c>
    </row>
    <row r="15" spans="1:9">
      <c r="A15" s="138" t="s">
        <v>24</v>
      </c>
      <c r="B15" s="139"/>
      <c r="C15" s="139"/>
      <c r="D15" s="139"/>
      <c r="E15" s="140"/>
      <c r="F15" s="21">
        <v>0</v>
      </c>
      <c r="G15" s="22" t="s">
        <v>4</v>
      </c>
      <c r="H15" s="22" t="s">
        <v>4</v>
      </c>
      <c r="I15" s="21">
        <f>F15</f>
        <v>0</v>
      </c>
    </row>
    <row r="16" spans="1:9">
      <c r="A16" s="138" t="s">
        <v>27</v>
      </c>
      <c r="B16" s="139"/>
      <c r="C16" s="139"/>
      <c r="D16" s="139"/>
      <c r="E16" s="140"/>
      <c r="F16" s="21">
        <v>0</v>
      </c>
      <c r="G16" s="22" t="s">
        <v>4</v>
      </c>
      <c r="H16" s="22" t="s">
        <v>4</v>
      </c>
      <c r="I16" s="21">
        <f>F16</f>
        <v>0</v>
      </c>
    </row>
    <row r="17" spans="1:9">
      <c r="A17" s="141" t="s">
        <v>30</v>
      </c>
      <c r="B17" s="142"/>
      <c r="C17" s="142"/>
      <c r="D17" s="142"/>
      <c r="E17" s="143"/>
      <c r="F17" s="23">
        <v>0</v>
      </c>
      <c r="G17" s="24" t="s">
        <v>4</v>
      </c>
      <c r="H17" s="24" t="s">
        <v>4</v>
      </c>
      <c r="I17" s="23">
        <f>F17</f>
        <v>0</v>
      </c>
    </row>
    <row r="18" spans="1:9">
      <c r="A18" s="144" t="s">
        <v>63</v>
      </c>
      <c r="B18" s="145"/>
      <c r="C18" s="145"/>
      <c r="D18" s="145"/>
      <c r="E18" s="146"/>
      <c r="F18" s="25" t="s">
        <v>4</v>
      </c>
      <c r="G18" s="26" t="s">
        <v>4</v>
      </c>
      <c r="H18" s="26" t="s">
        <v>4</v>
      </c>
      <c r="I18" s="27">
        <f>SUM(I15:I17)</f>
        <v>0</v>
      </c>
    </row>
    <row r="20" spans="1:9">
      <c r="A20" s="135" t="s">
        <v>21</v>
      </c>
      <c r="B20" s="136"/>
      <c r="C20" s="136"/>
      <c r="D20" s="136"/>
      <c r="E20" s="137"/>
      <c r="F20" s="20" t="s">
        <v>60</v>
      </c>
      <c r="G20" s="20" t="s">
        <v>61</v>
      </c>
      <c r="H20" s="20" t="s">
        <v>62</v>
      </c>
      <c r="I20" s="20" t="s">
        <v>60</v>
      </c>
    </row>
    <row r="21" spans="1:9">
      <c r="A21" s="138" t="s">
        <v>25</v>
      </c>
      <c r="B21" s="139"/>
      <c r="C21" s="139"/>
      <c r="D21" s="139"/>
      <c r="E21" s="140"/>
      <c r="F21" s="21">
        <v>0</v>
      </c>
      <c r="G21" s="22" t="s">
        <v>4</v>
      </c>
      <c r="H21" s="22" t="s">
        <v>4</v>
      </c>
      <c r="I21" s="21">
        <f t="shared" ref="I21:I26" si="0">F21</f>
        <v>0</v>
      </c>
    </row>
    <row r="22" spans="1:9">
      <c r="A22" s="138" t="s">
        <v>28</v>
      </c>
      <c r="B22" s="139"/>
      <c r="C22" s="139"/>
      <c r="D22" s="139"/>
      <c r="E22" s="140"/>
      <c r="F22" s="21">
        <v>0</v>
      </c>
      <c r="G22" s="22" t="s">
        <v>4</v>
      </c>
      <c r="H22" s="22" t="s">
        <v>4</v>
      </c>
      <c r="I22" s="21">
        <f t="shared" si="0"/>
        <v>0</v>
      </c>
    </row>
    <row r="23" spans="1:9">
      <c r="A23" s="138" t="s">
        <v>31</v>
      </c>
      <c r="B23" s="139"/>
      <c r="C23" s="139"/>
      <c r="D23" s="139"/>
      <c r="E23" s="140"/>
      <c r="F23" s="21">
        <v>0</v>
      </c>
      <c r="G23" s="22" t="s">
        <v>4</v>
      </c>
      <c r="H23" s="22" t="s">
        <v>4</v>
      </c>
      <c r="I23" s="21">
        <f t="shared" si="0"/>
        <v>0</v>
      </c>
    </row>
    <row r="24" spans="1:9">
      <c r="A24" s="138" t="s">
        <v>32</v>
      </c>
      <c r="B24" s="139"/>
      <c r="C24" s="139"/>
      <c r="D24" s="139"/>
      <c r="E24" s="140"/>
      <c r="F24" s="21">
        <v>0</v>
      </c>
      <c r="G24" s="22" t="s">
        <v>4</v>
      </c>
      <c r="H24" s="22" t="s">
        <v>4</v>
      </c>
      <c r="I24" s="21">
        <f t="shared" si="0"/>
        <v>0</v>
      </c>
    </row>
    <row r="25" spans="1:9">
      <c r="A25" s="138" t="s">
        <v>34</v>
      </c>
      <c r="B25" s="139"/>
      <c r="C25" s="139"/>
      <c r="D25" s="139"/>
      <c r="E25" s="140"/>
      <c r="F25" s="21">
        <v>0</v>
      </c>
      <c r="G25" s="22" t="s">
        <v>4</v>
      </c>
      <c r="H25" s="22" t="s">
        <v>4</v>
      </c>
      <c r="I25" s="21">
        <f t="shared" si="0"/>
        <v>0</v>
      </c>
    </row>
    <row r="26" spans="1:9">
      <c r="A26" s="141" t="s">
        <v>35</v>
      </c>
      <c r="B26" s="142"/>
      <c r="C26" s="142"/>
      <c r="D26" s="142"/>
      <c r="E26" s="143"/>
      <c r="F26" s="23">
        <v>0</v>
      </c>
      <c r="G26" s="24" t="s">
        <v>4</v>
      </c>
      <c r="H26" s="24" t="s">
        <v>4</v>
      </c>
      <c r="I26" s="23">
        <f t="shared" si="0"/>
        <v>0</v>
      </c>
    </row>
    <row r="27" spans="1:9">
      <c r="A27" s="144" t="s">
        <v>64</v>
      </c>
      <c r="B27" s="145"/>
      <c r="C27" s="145"/>
      <c r="D27" s="145"/>
      <c r="E27" s="146"/>
      <c r="F27" s="25" t="s">
        <v>4</v>
      </c>
      <c r="G27" s="26" t="s">
        <v>4</v>
      </c>
      <c r="H27" s="26" t="s">
        <v>4</v>
      </c>
      <c r="I27" s="27">
        <f>SUM(I21:I26)</f>
        <v>0</v>
      </c>
    </row>
    <row r="29" spans="1:9" ht="15.75">
      <c r="A29" s="147" t="s">
        <v>65</v>
      </c>
      <c r="B29" s="148"/>
      <c r="C29" s="148"/>
      <c r="D29" s="148"/>
      <c r="E29" s="149"/>
      <c r="F29" s="150">
        <f>I18+I27</f>
        <v>0</v>
      </c>
      <c r="G29" s="151"/>
      <c r="H29" s="151"/>
      <c r="I29" s="152"/>
    </row>
    <row r="33" spans="1:9" ht="15.75">
      <c r="A33" s="134" t="s">
        <v>66</v>
      </c>
      <c r="B33" s="134"/>
      <c r="C33" s="134"/>
      <c r="D33" s="134"/>
      <c r="E33" s="134"/>
    </row>
    <row r="34" spans="1:9">
      <c r="A34" s="135" t="s">
        <v>67</v>
      </c>
      <c r="B34" s="136"/>
      <c r="C34" s="136"/>
      <c r="D34" s="136"/>
      <c r="E34" s="137"/>
      <c r="F34" s="20" t="s">
        <v>60</v>
      </c>
      <c r="G34" s="20" t="s">
        <v>61</v>
      </c>
      <c r="H34" s="20" t="s">
        <v>62</v>
      </c>
      <c r="I34" s="20" t="s">
        <v>60</v>
      </c>
    </row>
    <row r="35" spans="1:9">
      <c r="A35" s="138" t="s">
        <v>68</v>
      </c>
      <c r="B35" s="139"/>
      <c r="C35" s="139"/>
      <c r="D35" s="139"/>
      <c r="E35" s="140"/>
      <c r="F35" s="21">
        <f>SUM('Stavební rozpočet'!BM12:BM1242)</f>
        <v>0</v>
      </c>
      <c r="G35" s="22" t="s">
        <v>4</v>
      </c>
      <c r="H35" s="22" t="s">
        <v>4</v>
      </c>
      <c r="I35" s="21">
        <f t="shared" ref="I35:I44" si="1">F35</f>
        <v>0</v>
      </c>
    </row>
    <row r="36" spans="1:9">
      <c r="A36" s="138" t="s">
        <v>69</v>
      </c>
      <c r="B36" s="139"/>
      <c r="C36" s="139"/>
      <c r="D36" s="139"/>
      <c r="E36" s="140"/>
      <c r="F36" s="21">
        <f>SUM('Stavební rozpočet'!BN12:BN1242)</f>
        <v>0</v>
      </c>
      <c r="G36" s="22" t="s">
        <v>4</v>
      </c>
      <c r="H36" s="22" t="s">
        <v>4</v>
      </c>
      <c r="I36" s="21">
        <f t="shared" si="1"/>
        <v>0</v>
      </c>
    </row>
    <row r="37" spans="1:9">
      <c r="A37" s="138" t="s">
        <v>25</v>
      </c>
      <c r="B37" s="139"/>
      <c r="C37" s="139"/>
      <c r="D37" s="139"/>
      <c r="E37" s="140"/>
      <c r="F37" s="21">
        <f>SUM('Stavební rozpočet'!BO12:BO1242)</f>
        <v>0</v>
      </c>
      <c r="G37" s="22" t="s">
        <v>4</v>
      </c>
      <c r="H37" s="22" t="s">
        <v>4</v>
      </c>
      <c r="I37" s="21">
        <f t="shared" si="1"/>
        <v>0</v>
      </c>
    </row>
    <row r="38" spans="1:9">
      <c r="A38" s="138" t="s">
        <v>70</v>
      </c>
      <c r="B38" s="139"/>
      <c r="C38" s="139"/>
      <c r="D38" s="139"/>
      <c r="E38" s="140"/>
      <c r="F38" s="21">
        <f>SUM('Stavební rozpočet'!BP12:BP1242)</f>
        <v>0</v>
      </c>
      <c r="G38" s="22" t="s">
        <v>4</v>
      </c>
      <c r="H38" s="22" t="s">
        <v>4</v>
      </c>
      <c r="I38" s="21">
        <f t="shared" si="1"/>
        <v>0</v>
      </c>
    </row>
    <row r="39" spans="1:9">
      <c r="A39" s="138" t="s">
        <v>71</v>
      </c>
      <c r="B39" s="139"/>
      <c r="C39" s="139"/>
      <c r="D39" s="139"/>
      <c r="E39" s="140"/>
      <c r="F39" s="21">
        <f>SUM('Stavební rozpočet'!BQ12:BQ1242)</f>
        <v>0</v>
      </c>
      <c r="G39" s="22" t="s">
        <v>4</v>
      </c>
      <c r="H39" s="22" t="s">
        <v>4</v>
      </c>
      <c r="I39" s="21">
        <f t="shared" si="1"/>
        <v>0</v>
      </c>
    </row>
    <row r="40" spans="1:9">
      <c r="A40" s="138" t="s">
        <v>31</v>
      </c>
      <c r="B40" s="139"/>
      <c r="C40" s="139"/>
      <c r="D40" s="139"/>
      <c r="E40" s="140"/>
      <c r="F40" s="21">
        <f>SUM('Stavební rozpočet'!BR12:BR1242)</f>
        <v>0</v>
      </c>
      <c r="G40" s="22" t="s">
        <v>4</v>
      </c>
      <c r="H40" s="22" t="s">
        <v>4</v>
      </c>
      <c r="I40" s="21">
        <f t="shared" si="1"/>
        <v>0</v>
      </c>
    </row>
    <row r="41" spans="1:9">
      <c r="A41" s="138" t="s">
        <v>32</v>
      </c>
      <c r="B41" s="139"/>
      <c r="C41" s="139"/>
      <c r="D41" s="139"/>
      <c r="E41" s="140"/>
      <c r="F41" s="21">
        <f>SUM('Stavební rozpočet'!BS12:BS1242)</f>
        <v>0</v>
      </c>
      <c r="G41" s="22" t="s">
        <v>4</v>
      </c>
      <c r="H41" s="22" t="s">
        <v>4</v>
      </c>
      <c r="I41" s="21">
        <f t="shared" si="1"/>
        <v>0</v>
      </c>
    </row>
    <row r="42" spans="1:9">
      <c r="A42" s="138" t="s">
        <v>72</v>
      </c>
      <c r="B42" s="139"/>
      <c r="C42" s="139"/>
      <c r="D42" s="139"/>
      <c r="E42" s="140"/>
      <c r="F42" s="21">
        <f>SUM('Stavební rozpočet'!BT12:BT1242)</f>
        <v>0</v>
      </c>
      <c r="G42" s="22" t="s">
        <v>4</v>
      </c>
      <c r="H42" s="22" t="s">
        <v>4</v>
      </c>
      <c r="I42" s="21">
        <f t="shared" si="1"/>
        <v>0</v>
      </c>
    </row>
    <row r="43" spans="1:9">
      <c r="A43" s="138" t="s">
        <v>73</v>
      </c>
      <c r="B43" s="139"/>
      <c r="C43" s="139"/>
      <c r="D43" s="139"/>
      <c r="E43" s="140"/>
      <c r="F43" s="21">
        <f>SUM('Stavební rozpočet'!BU12:BU1242)</f>
        <v>0</v>
      </c>
      <c r="G43" s="22" t="s">
        <v>4</v>
      </c>
      <c r="H43" s="22" t="s">
        <v>4</v>
      </c>
      <c r="I43" s="21">
        <f t="shared" si="1"/>
        <v>0</v>
      </c>
    </row>
    <row r="44" spans="1:9">
      <c r="A44" s="141" t="s">
        <v>74</v>
      </c>
      <c r="B44" s="142"/>
      <c r="C44" s="142"/>
      <c r="D44" s="142"/>
      <c r="E44" s="143"/>
      <c r="F44" s="23">
        <f>SUM('Stavební rozpočet'!BV12:BV1242)</f>
        <v>0</v>
      </c>
      <c r="G44" s="24" t="s">
        <v>4</v>
      </c>
      <c r="H44" s="24" t="s">
        <v>4</v>
      </c>
      <c r="I44" s="23">
        <f t="shared" si="1"/>
        <v>0</v>
      </c>
    </row>
    <row r="45" spans="1:9">
      <c r="A45" s="144" t="s">
        <v>75</v>
      </c>
      <c r="B45" s="145"/>
      <c r="C45" s="145"/>
      <c r="D45" s="145"/>
      <c r="E45" s="146"/>
      <c r="F45" s="25" t="s">
        <v>4</v>
      </c>
      <c r="G45" s="26" t="s">
        <v>4</v>
      </c>
      <c r="H45" s="26" t="s">
        <v>4</v>
      </c>
      <c r="I45" s="27">
        <f>SUM(I35:I44)</f>
        <v>0</v>
      </c>
    </row>
  </sheetData>
  <sheetProtection password="CF7A" sheet="1"/>
  <mergeCells count="60">
    <mergeCell ref="A41:E41"/>
    <mergeCell ref="A42:E42"/>
    <mergeCell ref="A43:E43"/>
    <mergeCell ref="A44:E44"/>
    <mergeCell ref="A45:E45"/>
    <mergeCell ref="A36:E36"/>
    <mergeCell ref="A37:E37"/>
    <mergeCell ref="A38:E38"/>
    <mergeCell ref="A39:E39"/>
    <mergeCell ref="A40:E40"/>
    <mergeCell ref="A29:E29"/>
    <mergeCell ref="F29:I29"/>
    <mergeCell ref="A33:E33"/>
    <mergeCell ref="A34:E34"/>
    <mergeCell ref="A35:E35"/>
    <mergeCell ref="A23:E23"/>
    <mergeCell ref="A24:E24"/>
    <mergeCell ref="A25:E25"/>
    <mergeCell ref="A26:E26"/>
    <mergeCell ref="A27:E27"/>
    <mergeCell ref="A17:E17"/>
    <mergeCell ref="A18:E18"/>
    <mergeCell ref="A20:E20"/>
    <mergeCell ref="A21:E21"/>
    <mergeCell ref="A22:E22"/>
    <mergeCell ref="I10:I11"/>
    <mergeCell ref="A13:E13"/>
    <mergeCell ref="A14:E14"/>
    <mergeCell ref="A15:E15"/>
    <mergeCell ref="A16:E16"/>
    <mergeCell ref="H10:H11"/>
    <mergeCell ref="C2:D3"/>
    <mergeCell ref="C4:D5"/>
    <mergeCell ref="C6:D7"/>
    <mergeCell ref="C8:D9"/>
    <mergeCell ref="C10:D11"/>
    <mergeCell ref="F2:G3"/>
    <mergeCell ref="F4:G5"/>
    <mergeCell ref="F6:G7"/>
    <mergeCell ref="F8:G9"/>
    <mergeCell ref="F10:G11"/>
    <mergeCell ref="A10:B11"/>
    <mergeCell ref="E2:E3"/>
    <mergeCell ref="E4:E5"/>
    <mergeCell ref="E6:E7"/>
    <mergeCell ref="E8:E9"/>
    <mergeCell ref="E10:E11"/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1"/>
  <sheetViews>
    <sheetView workbookViewId="0">
      <pane ySplit="11" topLeftCell="A12" activePane="bottomLeft" state="frozen"/>
      <selection pane="bottomLeft" activeCell="A21" sqref="A21:L21"/>
    </sheetView>
  </sheetViews>
  <sheetFormatPr defaultColWidth="12.140625" defaultRowHeight="15" customHeight="1"/>
  <cols>
    <col min="1" max="1" width="7.5703125" customWidth="1"/>
    <col min="2" max="11" width="15.7109375" customWidth="1"/>
    <col min="12" max="12" width="14.28515625" customWidth="1"/>
    <col min="13" max="16" width="12.140625" hidden="1"/>
  </cols>
  <sheetData>
    <row r="1" spans="1:16" ht="54.75" customHeight="1">
      <c r="A1" s="83" t="s">
        <v>76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6">
      <c r="A2" s="84" t="s">
        <v>1</v>
      </c>
      <c r="B2" s="85"/>
      <c r="C2" s="85"/>
      <c r="D2" s="93" t="str">
        <f>'Stavební rozpočet'!D2</f>
        <v>005-2025 Bohdalov - chodník od hráze Záhumenního rybníka do městysu</v>
      </c>
      <c r="E2" s="94"/>
      <c r="F2" s="94"/>
      <c r="G2" s="91" t="s">
        <v>77</v>
      </c>
      <c r="H2" s="91" t="str">
        <f>'Stavební rozpočet'!H2</f>
        <v xml:space="preserve"> </v>
      </c>
      <c r="I2" s="91" t="s">
        <v>2</v>
      </c>
      <c r="J2" s="91" t="str">
        <f>'Stavební rozpočet'!J2</f>
        <v> </v>
      </c>
      <c r="K2" s="85"/>
      <c r="L2" s="96"/>
    </row>
    <row r="3" spans="1:16" ht="15" customHeight="1">
      <c r="A3" s="86"/>
      <c r="B3" s="87"/>
      <c r="C3" s="87"/>
      <c r="D3" s="95"/>
      <c r="E3" s="95"/>
      <c r="F3" s="95"/>
      <c r="G3" s="87"/>
      <c r="H3" s="87"/>
      <c r="I3" s="87"/>
      <c r="J3" s="87"/>
      <c r="K3" s="87"/>
      <c r="L3" s="97"/>
    </row>
    <row r="4" spans="1:16">
      <c r="A4" s="88" t="s">
        <v>5</v>
      </c>
      <c r="B4" s="87"/>
      <c r="C4" s="87"/>
      <c r="D4" s="92" t="str">
        <f>'Stavební rozpočet'!D4</f>
        <v xml:space="preserve"> </v>
      </c>
      <c r="E4" s="87"/>
      <c r="F4" s="87"/>
      <c r="G4" s="92" t="s">
        <v>9</v>
      </c>
      <c r="H4" s="92" t="str">
        <f>'Stavební rozpočet'!H4</f>
        <v xml:space="preserve"> </v>
      </c>
      <c r="I4" s="92" t="s">
        <v>6</v>
      </c>
      <c r="J4" s="92" t="str">
        <f>'Stavební rozpočet'!J4</f>
        <v> </v>
      </c>
      <c r="K4" s="87"/>
      <c r="L4" s="97"/>
    </row>
    <row r="5" spans="1:16" ht="15" customHeight="1">
      <c r="A5" s="86"/>
      <c r="B5" s="87"/>
      <c r="C5" s="87"/>
      <c r="D5" s="87"/>
      <c r="E5" s="87"/>
      <c r="F5" s="87"/>
      <c r="G5" s="87"/>
      <c r="H5" s="87"/>
      <c r="I5" s="87"/>
      <c r="J5" s="87"/>
      <c r="K5" s="87"/>
      <c r="L5" s="97"/>
    </row>
    <row r="6" spans="1:16">
      <c r="A6" s="88" t="s">
        <v>7</v>
      </c>
      <c r="B6" s="87"/>
      <c r="C6" s="87"/>
      <c r="D6" s="92" t="str">
        <f>'Stavební rozpočet'!D6</f>
        <v xml:space="preserve"> </v>
      </c>
      <c r="E6" s="87"/>
      <c r="F6" s="87"/>
      <c r="G6" s="92" t="s">
        <v>10</v>
      </c>
      <c r="H6" s="92" t="str">
        <f>'Stavební rozpočet'!H6</f>
        <v xml:space="preserve"> </v>
      </c>
      <c r="I6" s="92" t="s">
        <v>8</v>
      </c>
      <c r="J6" s="92" t="str">
        <f>'Stavební rozpočet'!J6</f>
        <v> </v>
      </c>
      <c r="K6" s="87"/>
      <c r="L6" s="97"/>
    </row>
    <row r="7" spans="1:16" ht="15" customHeight="1">
      <c r="A7" s="86"/>
      <c r="B7" s="87"/>
      <c r="C7" s="87"/>
      <c r="D7" s="87"/>
      <c r="E7" s="87"/>
      <c r="F7" s="87"/>
      <c r="G7" s="87"/>
      <c r="H7" s="87"/>
      <c r="I7" s="87"/>
      <c r="J7" s="87"/>
      <c r="K7" s="87"/>
      <c r="L7" s="97"/>
    </row>
    <row r="8" spans="1:16">
      <c r="A8" s="88" t="s">
        <v>12</v>
      </c>
      <c r="B8" s="87"/>
      <c r="C8" s="87"/>
      <c r="D8" s="92" t="str">
        <f>'Stavební rozpočet'!D8</f>
        <v xml:space="preserve"> </v>
      </c>
      <c r="E8" s="87"/>
      <c r="F8" s="87"/>
      <c r="G8" s="92" t="s">
        <v>78</v>
      </c>
      <c r="H8" s="92">
        <f>'Stavební rozpočet'!H8</f>
        <v>0</v>
      </c>
      <c r="I8" s="92" t="s">
        <v>13</v>
      </c>
      <c r="J8" s="92" t="str">
        <f>'Stavební rozpočet'!J8</f>
        <v> </v>
      </c>
      <c r="K8" s="87"/>
      <c r="L8" s="97"/>
    </row>
    <row r="9" spans="1:16">
      <c r="A9" s="153"/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5"/>
    </row>
    <row r="10" spans="1:16">
      <c r="A10" s="28" t="s">
        <v>79</v>
      </c>
      <c r="B10" s="156" t="s">
        <v>79</v>
      </c>
      <c r="C10" s="157"/>
      <c r="D10" s="157"/>
      <c r="E10" s="157"/>
      <c r="F10" s="157"/>
      <c r="G10" s="157"/>
      <c r="H10" s="157"/>
      <c r="I10" s="157"/>
      <c r="J10" s="157"/>
      <c r="K10" s="158"/>
      <c r="L10" s="29" t="s">
        <v>80</v>
      </c>
    </row>
    <row r="11" spans="1:16">
      <c r="A11" s="30" t="s">
        <v>81</v>
      </c>
      <c r="B11" s="159" t="s">
        <v>82</v>
      </c>
      <c r="C11" s="160"/>
      <c r="D11" s="160"/>
      <c r="E11" s="160"/>
      <c r="F11" s="160"/>
      <c r="G11" s="160"/>
      <c r="H11" s="160"/>
      <c r="I11" s="160"/>
      <c r="J11" s="160"/>
      <c r="K11" s="161"/>
      <c r="L11" s="31" t="s">
        <v>83</v>
      </c>
    </row>
    <row r="12" spans="1:16">
      <c r="A12" s="32" t="s">
        <v>84</v>
      </c>
      <c r="B12" s="162" t="s">
        <v>57</v>
      </c>
      <c r="C12" s="162"/>
      <c r="D12" s="162"/>
      <c r="E12" s="162"/>
      <c r="F12" s="162"/>
      <c r="G12" s="162"/>
      <c r="H12" s="162"/>
      <c r="I12" s="162"/>
      <c r="J12" s="162"/>
      <c r="K12" s="162"/>
      <c r="L12" s="33">
        <f>ROUND('Stavební rozpočet'!I12,2)</f>
        <v>0</v>
      </c>
      <c r="M12" s="34" t="s">
        <v>85</v>
      </c>
      <c r="N12" s="35">
        <f t="shared" ref="N12:N18" si="0">IF(M12="F",0,L12)</f>
        <v>0</v>
      </c>
      <c r="O12" s="2" t="s">
        <v>84</v>
      </c>
      <c r="P12" s="35">
        <f t="shared" ref="P12:P18" si="1">IF(M12="T",0,L12)</f>
        <v>0</v>
      </c>
    </row>
    <row r="13" spans="1:16">
      <c r="A13" s="1" t="s">
        <v>86</v>
      </c>
      <c r="B13" s="87" t="s">
        <v>87</v>
      </c>
      <c r="C13" s="87"/>
      <c r="D13" s="87"/>
      <c r="E13" s="87"/>
      <c r="F13" s="87"/>
      <c r="G13" s="87"/>
      <c r="H13" s="87"/>
      <c r="I13" s="87"/>
      <c r="J13" s="87"/>
      <c r="K13" s="87"/>
      <c r="L13" s="36">
        <f>ROUND('Stavební rozpočet'!I37,2)</f>
        <v>0</v>
      </c>
      <c r="M13" s="34" t="s">
        <v>85</v>
      </c>
      <c r="N13" s="35">
        <f t="shared" si="0"/>
        <v>0</v>
      </c>
      <c r="O13" s="2" t="s">
        <v>86</v>
      </c>
      <c r="P13" s="35">
        <f t="shared" si="1"/>
        <v>0</v>
      </c>
    </row>
    <row r="14" spans="1:16">
      <c r="A14" s="1" t="s">
        <v>88</v>
      </c>
      <c r="B14" s="87" t="s">
        <v>89</v>
      </c>
      <c r="C14" s="87"/>
      <c r="D14" s="87"/>
      <c r="E14" s="87"/>
      <c r="F14" s="87"/>
      <c r="G14" s="87"/>
      <c r="H14" s="87"/>
      <c r="I14" s="87"/>
      <c r="J14" s="87"/>
      <c r="K14" s="87"/>
      <c r="L14" s="36">
        <f>ROUND('Stavební rozpočet'!I213,2)</f>
        <v>0</v>
      </c>
      <c r="M14" s="34" t="s">
        <v>85</v>
      </c>
      <c r="N14" s="35">
        <f t="shared" si="0"/>
        <v>0</v>
      </c>
      <c r="O14" s="2" t="s">
        <v>88</v>
      </c>
      <c r="P14" s="35">
        <f t="shared" si="1"/>
        <v>0</v>
      </c>
    </row>
    <row r="15" spans="1:16">
      <c r="A15" s="1" t="s">
        <v>90</v>
      </c>
      <c r="B15" s="87" t="s">
        <v>91</v>
      </c>
      <c r="C15" s="87"/>
      <c r="D15" s="87"/>
      <c r="E15" s="87"/>
      <c r="F15" s="87"/>
      <c r="G15" s="87"/>
      <c r="H15" s="87"/>
      <c r="I15" s="87"/>
      <c r="J15" s="87"/>
      <c r="K15" s="87"/>
      <c r="L15" s="36">
        <f>ROUND('Stavební rozpočet'!I263,2)</f>
        <v>0</v>
      </c>
      <c r="M15" s="34" t="s">
        <v>85</v>
      </c>
      <c r="N15" s="35">
        <f t="shared" si="0"/>
        <v>0</v>
      </c>
      <c r="O15" s="2" t="s">
        <v>90</v>
      </c>
      <c r="P15" s="35">
        <f t="shared" si="1"/>
        <v>0</v>
      </c>
    </row>
    <row r="16" spans="1:16">
      <c r="A16" s="1" t="s">
        <v>92</v>
      </c>
      <c r="B16" s="87" t="s">
        <v>93</v>
      </c>
      <c r="C16" s="87"/>
      <c r="D16" s="87"/>
      <c r="E16" s="87"/>
      <c r="F16" s="87"/>
      <c r="G16" s="87"/>
      <c r="H16" s="87"/>
      <c r="I16" s="87"/>
      <c r="J16" s="87"/>
      <c r="K16" s="87"/>
      <c r="L16" s="36">
        <f>ROUND('Stavební rozpočet'!I347,2)</f>
        <v>0</v>
      </c>
      <c r="M16" s="34" t="s">
        <v>85</v>
      </c>
      <c r="N16" s="35">
        <f t="shared" si="0"/>
        <v>0</v>
      </c>
      <c r="O16" s="2" t="s">
        <v>92</v>
      </c>
      <c r="P16" s="35">
        <f t="shared" si="1"/>
        <v>0</v>
      </c>
    </row>
    <row r="17" spans="1:16">
      <c r="A17" s="1" t="s">
        <v>94</v>
      </c>
      <c r="B17" s="87" t="s">
        <v>95</v>
      </c>
      <c r="C17" s="87"/>
      <c r="D17" s="87"/>
      <c r="E17" s="87"/>
      <c r="F17" s="87"/>
      <c r="G17" s="87"/>
      <c r="H17" s="87"/>
      <c r="I17" s="87"/>
      <c r="J17" s="87"/>
      <c r="K17" s="87"/>
      <c r="L17" s="36">
        <f>ROUND('Stavební rozpočet'!I387,2)</f>
        <v>0</v>
      </c>
      <c r="M17" s="34" t="s">
        <v>85</v>
      </c>
      <c r="N17" s="35">
        <f t="shared" si="0"/>
        <v>0</v>
      </c>
      <c r="O17" s="2" t="s">
        <v>94</v>
      </c>
      <c r="P17" s="35">
        <f t="shared" si="1"/>
        <v>0</v>
      </c>
    </row>
    <row r="18" spans="1:16">
      <c r="A18" s="4" t="s">
        <v>96</v>
      </c>
      <c r="B18" s="90" t="s">
        <v>97</v>
      </c>
      <c r="C18" s="90"/>
      <c r="D18" s="90"/>
      <c r="E18" s="90"/>
      <c r="F18" s="90"/>
      <c r="G18" s="90"/>
      <c r="H18" s="90"/>
      <c r="I18" s="90"/>
      <c r="J18" s="90"/>
      <c r="K18" s="90"/>
      <c r="L18" s="37">
        <f>ROUND('Stavební rozpočet'!I554,2)</f>
        <v>0</v>
      </c>
      <c r="M18" s="34" t="s">
        <v>85</v>
      </c>
      <c r="N18" s="35">
        <f t="shared" si="0"/>
        <v>0</v>
      </c>
      <c r="O18" s="2" t="s">
        <v>96</v>
      </c>
      <c r="P18" s="35">
        <f t="shared" si="1"/>
        <v>0</v>
      </c>
    </row>
    <row r="19" spans="1:16">
      <c r="J19" s="163" t="s">
        <v>98</v>
      </c>
      <c r="K19" s="163"/>
      <c r="L19" s="38">
        <f>ROUND(SUM(P12:P18),0)</f>
        <v>0</v>
      </c>
    </row>
    <row r="20" spans="1:16">
      <c r="A20" s="39" t="s">
        <v>56</v>
      </c>
    </row>
    <row r="21" spans="1:16" ht="12.75" customHeight="1">
      <c r="A21" s="92" t="s">
        <v>4</v>
      </c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</row>
  </sheetData>
  <sheetProtection password="CF7A" sheet="1"/>
  <mergeCells count="36">
    <mergeCell ref="B16:K16"/>
    <mergeCell ref="B17:K17"/>
    <mergeCell ref="B18:K18"/>
    <mergeCell ref="J19:K19"/>
    <mergeCell ref="A21:L21"/>
    <mergeCell ref="B11:K11"/>
    <mergeCell ref="B12:K12"/>
    <mergeCell ref="B13:K13"/>
    <mergeCell ref="B14:K14"/>
    <mergeCell ref="B15:K15"/>
    <mergeCell ref="J2:L3"/>
    <mergeCell ref="J4:L5"/>
    <mergeCell ref="J6:L7"/>
    <mergeCell ref="J8:L9"/>
    <mergeCell ref="B10:K10"/>
    <mergeCell ref="H8:H9"/>
    <mergeCell ref="I2:I3"/>
    <mergeCell ref="I4:I5"/>
    <mergeCell ref="I6:I7"/>
    <mergeCell ref="I8:I9"/>
    <mergeCell ref="A1:L1"/>
    <mergeCell ref="A2:C3"/>
    <mergeCell ref="A4:C5"/>
    <mergeCell ref="A6:C7"/>
    <mergeCell ref="A8:C9"/>
    <mergeCell ref="D2:F3"/>
    <mergeCell ref="D4:F5"/>
    <mergeCell ref="D6:F7"/>
    <mergeCell ref="D8:F9"/>
    <mergeCell ref="G2:G3"/>
    <mergeCell ref="G4:G5"/>
    <mergeCell ref="G6:G7"/>
    <mergeCell ref="G8:G9"/>
    <mergeCell ref="H2:H3"/>
    <mergeCell ref="H4:H5"/>
    <mergeCell ref="H6:H7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Z624"/>
  <sheetViews>
    <sheetView workbookViewId="0">
      <pane ySplit="11" topLeftCell="A12" activePane="bottomLeft" state="frozen"/>
      <selection pane="bottomLeft" activeCell="H8" sqref="H8:H9"/>
    </sheetView>
  </sheetViews>
  <sheetFormatPr defaultColWidth="12.140625" defaultRowHeight="15" customHeight="1"/>
  <cols>
    <col min="1" max="1" width="3.140625" customWidth="1"/>
    <col min="2" max="2" width="7.5703125" customWidth="1"/>
    <col min="3" max="3" width="17.85546875" customWidth="1"/>
    <col min="4" max="4" width="42.85546875" customWidth="1"/>
    <col min="5" max="5" width="35.7109375" customWidth="1"/>
    <col min="6" max="6" width="6.7109375" customWidth="1"/>
    <col min="7" max="7" width="12.85546875" customWidth="1"/>
    <col min="8" max="8" width="12" customWidth="1"/>
    <col min="9" max="9" width="15.7109375" customWidth="1"/>
    <col min="25" max="75" width="12.140625" hidden="1"/>
    <col min="76" max="76" width="78.5703125" hidden="1" customWidth="1"/>
    <col min="77" max="78" width="12.140625" hidden="1"/>
  </cols>
  <sheetData>
    <row r="1" spans="1:76" ht="54.75" customHeight="1">
      <c r="A1" s="83" t="s">
        <v>99</v>
      </c>
      <c r="B1" s="83"/>
      <c r="C1" s="83"/>
      <c r="D1" s="83"/>
      <c r="E1" s="83"/>
      <c r="F1" s="83"/>
      <c r="G1" s="83"/>
      <c r="H1" s="83"/>
      <c r="I1" s="83"/>
      <c r="J1" s="83"/>
      <c r="K1" s="83"/>
      <c r="AS1" s="40">
        <f>SUM(AJ1:AJ2)</f>
        <v>0</v>
      </c>
      <c r="AT1" s="40">
        <f>SUM(AK1:AK2)</f>
        <v>0</v>
      </c>
      <c r="AU1" s="40">
        <f>SUM(AL1:AL2)</f>
        <v>0</v>
      </c>
    </row>
    <row r="2" spans="1:76">
      <c r="A2" s="84" t="s">
        <v>1</v>
      </c>
      <c r="B2" s="85"/>
      <c r="C2" s="85"/>
      <c r="D2" s="93" t="s">
        <v>100</v>
      </c>
      <c r="E2" s="94"/>
      <c r="F2" s="85" t="s">
        <v>77</v>
      </c>
      <c r="G2" s="85"/>
      <c r="H2" s="164" t="s">
        <v>79</v>
      </c>
      <c r="I2" s="91" t="s">
        <v>2</v>
      </c>
      <c r="J2" s="85" t="s">
        <v>101</v>
      </c>
      <c r="K2" s="96"/>
    </row>
    <row r="3" spans="1:76">
      <c r="A3" s="86"/>
      <c r="B3" s="87"/>
      <c r="C3" s="87"/>
      <c r="D3" s="95"/>
      <c r="E3" s="95"/>
      <c r="F3" s="87"/>
      <c r="G3" s="87"/>
      <c r="H3" s="165"/>
      <c r="I3" s="87"/>
      <c r="J3" s="87"/>
      <c r="K3" s="97"/>
    </row>
    <row r="4" spans="1:76">
      <c r="A4" s="88" t="s">
        <v>5</v>
      </c>
      <c r="B4" s="87"/>
      <c r="C4" s="87"/>
      <c r="D4" s="92" t="s">
        <v>79</v>
      </c>
      <c r="E4" s="87"/>
      <c r="F4" s="87" t="s">
        <v>9</v>
      </c>
      <c r="G4" s="87"/>
      <c r="H4" s="165" t="s">
        <v>79</v>
      </c>
      <c r="I4" s="92" t="s">
        <v>6</v>
      </c>
      <c r="J4" s="87" t="s">
        <v>101</v>
      </c>
      <c r="K4" s="97"/>
    </row>
    <row r="5" spans="1:76">
      <c r="A5" s="86"/>
      <c r="B5" s="87"/>
      <c r="C5" s="87"/>
      <c r="D5" s="87"/>
      <c r="E5" s="87"/>
      <c r="F5" s="87"/>
      <c r="G5" s="87"/>
      <c r="H5" s="165"/>
      <c r="I5" s="87"/>
      <c r="J5" s="87"/>
      <c r="K5" s="97"/>
    </row>
    <row r="6" spans="1:76">
      <c r="A6" s="88" t="s">
        <v>7</v>
      </c>
      <c r="B6" s="87"/>
      <c r="C6" s="87"/>
      <c r="D6" s="92" t="s">
        <v>79</v>
      </c>
      <c r="E6" s="87"/>
      <c r="F6" s="87" t="s">
        <v>10</v>
      </c>
      <c r="G6" s="87"/>
      <c r="H6" s="165" t="s">
        <v>79</v>
      </c>
      <c r="I6" s="92" t="s">
        <v>8</v>
      </c>
      <c r="J6" s="165" t="s">
        <v>101</v>
      </c>
      <c r="K6" s="167"/>
    </row>
    <row r="7" spans="1:76">
      <c r="A7" s="86"/>
      <c r="B7" s="87"/>
      <c r="C7" s="87"/>
      <c r="D7" s="87"/>
      <c r="E7" s="87"/>
      <c r="F7" s="87"/>
      <c r="G7" s="87"/>
      <c r="H7" s="165"/>
      <c r="I7" s="87"/>
      <c r="J7" s="165"/>
      <c r="K7" s="167"/>
    </row>
    <row r="8" spans="1:76">
      <c r="A8" s="88" t="s">
        <v>12</v>
      </c>
      <c r="B8" s="87"/>
      <c r="C8" s="87"/>
      <c r="D8" s="92" t="s">
        <v>79</v>
      </c>
      <c r="E8" s="87"/>
      <c r="F8" s="87" t="s">
        <v>78</v>
      </c>
      <c r="G8" s="87"/>
      <c r="H8" s="165"/>
      <c r="I8" s="92" t="s">
        <v>13</v>
      </c>
      <c r="J8" s="165" t="s">
        <v>101</v>
      </c>
      <c r="K8" s="167"/>
    </row>
    <row r="9" spans="1:76">
      <c r="A9" s="153"/>
      <c r="B9" s="154"/>
      <c r="C9" s="154"/>
      <c r="D9" s="154"/>
      <c r="E9" s="154"/>
      <c r="F9" s="154"/>
      <c r="G9" s="154"/>
      <c r="H9" s="166"/>
      <c r="I9" s="154"/>
      <c r="J9" s="168"/>
      <c r="K9" s="169"/>
    </row>
    <row r="10" spans="1:76">
      <c r="A10" s="41" t="s">
        <v>102</v>
      </c>
      <c r="B10" s="42" t="s">
        <v>81</v>
      </c>
      <c r="C10" s="42" t="s">
        <v>103</v>
      </c>
      <c r="D10" s="170" t="s">
        <v>104</v>
      </c>
      <c r="E10" s="171"/>
      <c r="F10" s="42" t="s">
        <v>105</v>
      </c>
      <c r="G10" s="43" t="s">
        <v>106</v>
      </c>
      <c r="H10" s="44" t="s">
        <v>107</v>
      </c>
      <c r="I10" s="29" t="s">
        <v>80</v>
      </c>
      <c r="K10" s="45"/>
      <c r="BK10" s="46" t="s">
        <v>108</v>
      </c>
      <c r="BL10" s="47" t="s">
        <v>109</v>
      </c>
      <c r="BW10" s="47" t="s">
        <v>110</v>
      </c>
    </row>
    <row r="11" spans="1:76">
      <c r="A11" s="48" t="s">
        <v>79</v>
      </c>
      <c r="B11" s="49" t="s">
        <v>79</v>
      </c>
      <c r="C11" s="49" t="s">
        <v>79</v>
      </c>
      <c r="D11" s="159" t="s">
        <v>111</v>
      </c>
      <c r="E11" s="161"/>
      <c r="F11" s="49" t="s">
        <v>79</v>
      </c>
      <c r="G11" s="49" t="s">
        <v>79</v>
      </c>
      <c r="H11" s="50" t="s">
        <v>112</v>
      </c>
      <c r="I11" s="31" t="s">
        <v>83</v>
      </c>
      <c r="K11" s="51"/>
      <c r="Z11" s="46" t="s">
        <v>113</v>
      </c>
      <c r="AA11" s="46" t="s">
        <v>114</v>
      </c>
      <c r="AB11" s="46" t="s">
        <v>115</v>
      </c>
      <c r="AC11" s="46" t="s">
        <v>116</v>
      </c>
      <c r="AD11" s="46" t="s">
        <v>117</v>
      </c>
      <c r="AE11" s="46" t="s">
        <v>118</v>
      </c>
      <c r="AF11" s="46" t="s">
        <v>119</v>
      </c>
      <c r="AG11" s="46" t="s">
        <v>120</v>
      </c>
      <c r="AH11" s="46" t="s">
        <v>121</v>
      </c>
      <c r="BH11" s="46" t="s">
        <v>122</v>
      </c>
      <c r="BI11" s="46" t="s">
        <v>123</v>
      </c>
      <c r="BJ11" s="46" t="s">
        <v>124</v>
      </c>
    </row>
    <row r="12" spans="1:76">
      <c r="A12" s="52" t="s">
        <v>4</v>
      </c>
      <c r="B12" s="53" t="s">
        <v>84</v>
      </c>
      <c r="C12" s="53" t="s">
        <v>4</v>
      </c>
      <c r="D12" s="172" t="s">
        <v>57</v>
      </c>
      <c r="E12" s="173"/>
      <c r="F12" s="54" t="s">
        <v>79</v>
      </c>
      <c r="G12" s="54" t="s">
        <v>79</v>
      </c>
      <c r="H12" s="55" t="s">
        <v>79</v>
      </c>
      <c r="I12" s="56">
        <f>I14+I33</f>
        <v>0</v>
      </c>
      <c r="K12" s="51"/>
    </row>
    <row r="13" spans="1:76">
      <c r="A13" s="57" t="s">
        <v>4</v>
      </c>
      <c r="B13" s="58" t="s">
        <v>84</v>
      </c>
      <c r="C13" s="58" t="s">
        <v>125</v>
      </c>
      <c r="D13" s="174" t="s">
        <v>57</v>
      </c>
      <c r="E13" s="175"/>
      <c r="F13" s="59" t="s">
        <v>79</v>
      </c>
      <c r="G13" s="59" t="s">
        <v>79</v>
      </c>
      <c r="H13" s="60" t="s">
        <v>79</v>
      </c>
      <c r="I13" s="40">
        <f>I14+I33</f>
        <v>0</v>
      </c>
      <c r="K13" s="51"/>
      <c r="AI13" s="46" t="s">
        <v>84</v>
      </c>
    </row>
    <row r="14" spans="1:76">
      <c r="A14" s="57" t="s">
        <v>4</v>
      </c>
      <c r="B14" s="58" t="s">
        <v>84</v>
      </c>
      <c r="C14" s="58" t="s">
        <v>126</v>
      </c>
      <c r="D14" s="174" t="s">
        <v>68</v>
      </c>
      <c r="E14" s="175"/>
      <c r="F14" s="59" t="s">
        <v>79</v>
      </c>
      <c r="G14" s="59" t="s">
        <v>79</v>
      </c>
      <c r="H14" s="60" t="s">
        <v>79</v>
      </c>
      <c r="I14" s="40">
        <f>SUM(I15:I32)</f>
        <v>0</v>
      </c>
      <c r="K14" s="51"/>
      <c r="AI14" s="46" t="s">
        <v>84</v>
      </c>
      <c r="AS14" s="40">
        <f>SUM(AJ15:AJ32)</f>
        <v>0</v>
      </c>
      <c r="AT14" s="40">
        <f>SUM(AK15:AK32)</f>
        <v>0</v>
      </c>
      <c r="AU14" s="40">
        <f>SUM(AL15:AL32)</f>
        <v>0</v>
      </c>
    </row>
    <row r="15" spans="1:76">
      <c r="A15" s="1" t="s">
        <v>127</v>
      </c>
      <c r="B15" s="2" t="s">
        <v>84</v>
      </c>
      <c r="C15" s="2" t="s">
        <v>128</v>
      </c>
      <c r="D15" s="92" t="s">
        <v>129</v>
      </c>
      <c r="E15" s="87"/>
      <c r="F15" s="2" t="s">
        <v>130</v>
      </c>
      <c r="G15" s="35">
        <v>1</v>
      </c>
      <c r="H15" s="61">
        <v>0</v>
      </c>
      <c r="I15" s="35">
        <f t="shared" ref="I15:I32" si="0">ROUND(G15*H15,2)</f>
        <v>0</v>
      </c>
      <c r="K15" s="51"/>
      <c r="Z15" s="35">
        <f t="shared" ref="Z15:Z32" si="1">ROUND(IF(AQ15="5",BJ15,0),2)</f>
        <v>0</v>
      </c>
      <c r="AB15" s="35">
        <f t="shared" ref="AB15:AB32" si="2">ROUND(IF(AQ15="1",BH15,0),2)</f>
        <v>0</v>
      </c>
      <c r="AC15" s="35">
        <f t="shared" ref="AC15:AC32" si="3">ROUND(IF(AQ15="1",BI15,0),2)</f>
        <v>0</v>
      </c>
      <c r="AD15" s="35">
        <f t="shared" ref="AD15:AD32" si="4">ROUND(IF(AQ15="7",BH15,0),2)</f>
        <v>0</v>
      </c>
      <c r="AE15" s="35">
        <f t="shared" ref="AE15:AE32" si="5">ROUND(IF(AQ15="7",BI15,0),2)</f>
        <v>0</v>
      </c>
      <c r="AF15" s="35">
        <f t="shared" ref="AF15:AF32" si="6">ROUND(IF(AQ15="2",BH15,0),2)</f>
        <v>0</v>
      </c>
      <c r="AG15" s="35">
        <f t="shared" ref="AG15:AG32" si="7">ROUND(IF(AQ15="2",BI15,0),2)</f>
        <v>0</v>
      </c>
      <c r="AH15" s="35">
        <f t="shared" ref="AH15:AH32" si="8">ROUND(IF(AQ15="0",BJ15,0),2)</f>
        <v>0</v>
      </c>
      <c r="AI15" s="46" t="s">
        <v>84</v>
      </c>
      <c r="AJ15" s="35">
        <f t="shared" ref="AJ15:AJ32" si="9">IF(AN15=0,I15,0)</f>
        <v>0</v>
      </c>
      <c r="AK15" s="35">
        <f t="shared" ref="AK15:AK32" si="10">IF(AN15=12,I15,0)</f>
        <v>0</v>
      </c>
      <c r="AL15" s="35">
        <f t="shared" ref="AL15:AL32" si="11">IF(AN15=21,I15,0)</f>
        <v>0</v>
      </c>
      <c r="AN15" s="35">
        <v>21</v>
      </c>
      <c r="AO15" s="35">
        <f t="shared" ref="AO15:AO32" si="12">H15*0</f>
        <v>0</v>
      </c>
      <c r="AP15" s="35">
        <f t="shared" ref="AP15:AP32" si="13">H15*(1-0)</f>
        <v>0</v>
      </c>
      <c r="AQ15" s="62" t="s">
        <v>131</v>
      </c>
      <c r="AV15" s="35">
        <f t="shared" ref="AV15:AV32" si="14">ROUND(AW15+AX15,2)</f>
        <v>0</v>
      </c>
      <c r="AW15" s="35">
        <f t="shared" ref="AW15:AW32" si="15">ROUND(G15*AO15,2)</f>
        <v>0</v>
      </c>
      <c r="AX15" s="35">
        <f t="shared" ref="AX15:AX32" si="16">ROUND(G15*AP15,2)</f>
        <v>0</v>
      </c>
      <c r="AY15" s="62" t="s">
        <v>132</v>
      </c>
      <c r="AZ15" s="62" t="s">
        <v>133</v>
      </c>
      <c r="BA15" s="46" t="s">
        <v>134</v>
      </c>
      <c r="BC15" s="35">
        <f t="shared" ref="BC15:BC32" si="17">AW15+AX15</f>
        <v>0</v>
      </c>
      <c r="BD15" s="35">
        <f t="shared" ref="BD15:BD32" si="18">H15/(100-BE15)*100</f>
        <v>0</v>
      </c>
      <c r="BE15" s="35">
        <v>0</v>
      </c>
      <c r="BF15" s="35">
        <f>15</f>
        <v>15</v>
      </c>
      <c r="BH15" s="35">
        <f t="shared" ref="BH15:BH32" si="19">G15*AO15</f>
        <v>0</v>
      </c>
      <c r="BI15" s="35">
        <f t="shared" ref="BI15:BI32" si="20">G15*AP15</f>
        <v>0</v>
      </c>
      <c r="BJ15" s="35">
        <f t="shared" ref="BJ15:BJ32" si="21">G15*H15</f>
        <v>0</v>
      </c>
      <c r="BK15" s="62" t="s">
        <v>135</v>
      </c>
      <c r="BL15" s="35"/>
      <c r="BM15" s="35">
        <f t="shared" ref="BM15:BM32" si="22">G15*H15</f>
        <v>0</v>
      </c>
      <c r="BW15" s="35">
        <v>21</v>
      </c>
      <c r="BX15" s="3" t="s">
        <v>129</v>
      </c>
    </row>
    <row r="16" spans="1:76">
      <c r="A16" s="1" t="s">
        <v>136</v>
      </c>
      <c r="B16" s="2" t="s">
        <v>84</v>
      </c>
      <c r="C16" s="2" t="s">
        <v>137</v>
      </c>
      <c r="D16" s="92" t="s">
        <v>138</v>
      </c>
      <c r="E16" s="87"/>
      <c r="F16" s="2" t="s">
        <v>130</v>
      </c>
      <c r="G16" s="35">
        <v>1</v>
      </c>
      <c r="H16" s="61">
        <v>0</v>
      </c>
      <c r="I16" s="35">
        <f t="shared" si="0"/>
        <v>0</v>
      </c>
      <c r="K16" s="51"/>
      <c r="Z16" s="35">
        <f t="shared" si="1"/>
        <v>0</v>
      </c>
      <c r="AB16" s="35">
        <f t="shared" si="2"/>
        <v>0</v>
      </c>
      <c r="AC16" s="35">
        <f t="shared" si="3"/>
        <v>0</v>
      </c>
      <c r="AD16" s="35">
        <f t="shared" si="4"/>
        <v>0</v>
      </c>
      <c r="AE16" s="35">
        <f t="shared" si="5"/>
        <v>0</v>
      </c>
      <c r="AF16" s="35">
        <f t="shared" si="6"/>
        <v>0</v>
      </c>
      <c r="AG16" s="35">
        <f t="shared" si="7"/>
        <v>0</v>
      </c>
      <c r="AH16" s="35">
        <f t="shared" si="8"/>
        <v>0</v>
      </c>
      <c r="AI16" s="46" t="s">
        <v>84</v>
      </c>
      <c r="AJ16" s="35">
        <f t="shared" si="9"/>
        <v>0</v>
      </c>
      <c r="AK16" s="35">
        <f t="shared" si="10"/>
        <v>0</v>
      </c>
      <c r="AL16" s="35">
        <f t="shared" si="11"/>
        <v>0</v>
      </c>
      <c r="AN16" s="35">
        <v>21</v>
      </c>
      <c r="AO16" s="35">
        <f t="shared" si="12"/>
        <v>0</v>
      </c>
      <c r="AP16" s="35">
        <f t="shared" si="13"/>
        <v>0</v>
      </c>
      <c r="AQ16" s="62" t="s">
        <v>131</v>
      </c>
      <c r="AV16" s="35">
        <f t="shared" si="14"/>
        <v>0</v>
      </c>
      <c r="AW16" s="35">
        <f t="shared" si="15"/>
        <v>0</v>
      </c>
      <c r="AX16" s="35">
        <f t="shared" si="16"/>
        <v>0</v>
      </c>
      <c r="AY16" s="62" t="s">
        <v>132</v>
      </c>
      <c r="AZ16" s="62" t="s">
        <v>133</v>
      </c>
      <c r="BA16" s="46" t="s">
        <v>134</v>
      </c>
      <c r="BC16" s="35">
        <f t="shared" si="17"/>
        <v>0</v>
      </c>
      <c r="BD16" s="35">
        <f t="shared" si="18"/>
        <v>0</v>
      </c>
      <c r="BE16" s="35">
        <v>0</v>
      </c>
      <c r="BF16" s="35">
        <f>16</f>
        <v>16</v>
      </c>
      <c r="BH16" s="35">
        <f t="shared" si="19"/>
        <v>0</v>
      </c>
      <c r="BI16" s="35">
        <f t="shared" si="20"/>
        <v>0</v>
      </c>
      <c r="BJ16" s="35">
        <f t="shared" si="21"/>
        <v>0</v>
      </c>
      <c r="BK16" s="62" t="s">
        <v>135</v>
      </c>
      <c r="BL16" s="35"/>
      <c r="BM16" s="35">
        <f t="shared" si="22"/>
        <v>0</v>
      </c>
      <c r="BW16" s="35">
        <v>21</v>
      </c>
      <c r="BX16" s="3" t="s">
        <v>138</v>
      </c>
    </row>
    <row r="17" spans="1:76">
      <c r="A17" s="1" t="s">
        <v>139</v>
      </c>
      <c r="B17" s="2" t="s">
        <v>84</v>
      </c>
      <c r="C17" s="2" t="s">
        <v>140</v>
      </c>
      <c r="D17" s="92" t="s">
        <v>141</v>
      </c>
      <c r="E17" s="87"/>
      <c r="F17" s="2" t="s">
        <v>130</v>
      </c>
      <c r="G17" s="35">
        <v>1</v>
      </c>
      <c r="H17" s="61">
        <v>0</v>
      </c>
      <c r="I17" s="35">
        <f t="shared" si="0"/>
        <v>0</v>
      </c>
      <c r="K17" s="51"/>
      <c r="Z17" s="35">
        <f t="shared" si="1"/>
        <v>0</v>
      </c>
      <c r="AB17" s="35">
        <f t="shared" si="2"/>
        <v>0</v>
      </c>
      <c r="AC17" s="35">
        <f t="shared" si="3"/>
        <v>0</v>
      </c>
      <c r="AD17" s="35">
        <f t="shared" si="4"/>
        <v>0</v>
      </c>
      <c r="AE17" s="35">
        <f t="shared" si="5"/>
        <v>0</v>
      </c>
      <c r="AF17" s="35">
        <f t="shared" si="6"/>
        <v>0</v>
      </c>
      <c r="AG17" s="35">
        <f t="shared" si="7"/>
        <v>0</v>
      </c>
      <c r="AH17" s="35">
        <f t="shared" si="8"/>
        <v>0</v>
      </c>
      <c r="AI17" s="46" t="s">
        <v>84</v>
      </c>
      <c r="AJ17" s="35">
        <f t="shared" si="9"/>
        <v>0</v>
      </c>
      <c r="AK17" s="35">
        <f t="shared" si="10"/>
        <v>0</v>
      </c>
      <c r="AL17" s="35">
        <f t="shared" si="11"/>
        <v>0</v>
      </c>
      <c r="AN17" s="35">
        <v>21</v>
      </c>
      <c r="AO17" s="35">
        <f t="shared" si="12"/>
        <v>0</v>
      </c>
      <c r="AP17" s="35">
        <f t="shared" si="13"/>
        <v>0</v>
      </c>
      <c r="AQ17" s="62" t="s">
        <v>131</v>
      </c>
      <c r="AV17" s="35">
        <f t="shared" si="14"/>
        <v>0</v>
      </c>
      <c r="AW17" s="35">
        <f t="shared" si="15"/>
        <v>0</v>
      </c>
      <c r="AX17" s="35">
        <f t="shared" si="16"/>
        <v>0</v>
      </c>
      <c r="AY17" s="62" t="s">
        <v>132</v>
      </c>
      <c r="AZ17" s="62" t="s">
        <v>133</v>
      </c>
      <c r="BA17" s="46" t="s">
        <v>134</v>
      </c>
      <c r="BC17" s="35">
        <f t="shared" si="17"/>
        <v>0</v>
      </c>
      <c r="BD17" s="35">
        <f t="shared" si="18"/>
        <v>0</v>
      </c>
      <c r="BE17" s="35">
        <v>0</v>
      </c>
      <c r="BF17" s="35">
        <f>17</f>
        <v>17</v>
      </c>
      <c r="BH17" s="35">
        <f t="shared" si="19"/>
        <v>0</v>
      </c>
      <c r="BI17" s="35">
        <f t="shared" si="20"/>
        <v>0</v>
      </c>
      <c r="BJ17" s="35">
        <f t="shared" si="21"/>
        <v>0</v>
      </c>
      <c r="BK17" s="62" t="s">
        <v>135</v>
      </c>
      <c r="BL17" s="35"/>
      <c r="BM17" s="35">
        <f t="shared" si="22"/>
        <v>0</v>
      </c>
      <c r="BW17" s="35">
        <v>21</v>
      </c>
      <c r="BX17" s="3" t="s">
        <v>141</v>
      </c>
    </row>
    <row r="18" spans="1:76">
      <c r="A18" s="1" t="s">
        <v>142</v>
      </c>
      <c r="B18" s="2" t="s">
        <v>84</v>
      </c>
      <c r="C18" s="2" t="s">
        <v>143</v>
      </c>
      <c r="D18" s="92" t="s">
        <v>144</v>
      </c>
      <c r="E18" s="87"/>
      <c r="F18" s="2" t="s">
        <v>130</v>
      </c>
      <c r="G18" s="35">
        <v>1</v>
      </c>
      <c r="H18" s="61">
        <v>0</v>
      </c>
      <c r="I18" s="35">
        <f t="shared" si="0"/>
        <v>0</v>
      </c>
      <c r="K18" s="51"/>
      <c r="Z18" s="35">
        <f t="shared" si="1"/>
        <v>0</v>
      </c>
      <c r="AB18" s="35">
        <f t="shared" si="2"/>
        <v>0</v>
      </c>
      <c r="AC18" s="35">
        <f t="shared" si="3"/>
        <v>0</v>
      </c>
      <c r="AD18" s="35">
        <f t="shared" si="4"/>
        <v>0</v>
      </c>
      <c r="AE18" s="35">
        <f t="shared" si="5"/>
        <v>0</v>
      </c>
      <c r="AF18" s="35">
        <f t="shared" si="6"/>
        <v>0</v>
      </c>
      <c r="AG18" s="35">
        <f t="shared" si="7"/>
        <v>0</v>
      </c>
      <c r="AH18" s="35">
        <f t="shared" si="8"/>
        <v>0</v>
      </c>
      <c r="AI18" s="46" t="s">
        <v>84</v>
      </c>
      <c r="AJ18" s="35">
        <f t="shared" si="9"/>
        <v>0</v>
      </c>
      <c r="AK18" s="35">
        <f t="shared" si="10"/>
        <v>0</v>
      </c>
      <c r="AL18" s="35">
        <f t="shared" si="11"/>
        <v>0</v>
      </c>
      <c r="AN18" s="35">
        <v>21</v>
      </c>
      <c r="AO18" s="35">
        <f t="shared" si="12"/>
        <v>0</v>
      </c>
      <c r="AP18" s="35">
        <f t="shared" si="13"/>
        <v>0</v>
      </c>
      <c r="AQ18" s="62" t="s">
        <v>131</v>
      </c>
      <c r="AV18" s="35">
        <f t="shared" si="14"/>
        <v>0</v>
      </c>
      <c r="AW18" s="35">
        <f t="shared" si="15"/>
        <v>0</v>
      </c>
      <c r="AX18" s="35">
        <f t="shared" si="16"/>
        <v>0</v>
      </c>
      <c r="AY18" s="62" t="s">
        <v>132</v>
      </c>
      <c r="AZ18" s="62" t="s">
        <v>133</v>
      </c>
      <c r="BA18" s="46" t="s">
        <v>134</v>
      </c>
      <c r="BC18" s="35">
        <f t="shared" si="17"/>
        <v>0</v>
      </c>
      <c r="BD18" s="35">
        <f t="shared" si="18"/>
        <v>0</v>
      </c>
      <c r="BE18" s="35">
        <v>0</v>
      </c>
      <c r="BF18" s="35">
        <f>18</f>
        <v>18</v>
      </c>
      <c r="BH18" s="35">
        <f t="shared" si="19"/>
        <v>0</v>
      </c>
      <c r="BI18" s="35">
        <f t="shared" si="20"/>
        <v>0</v>
      </c>
      <c r="BJ18" s="35">
        <f t="shared" si="21"/>
        <v>0</v>
      </c>
      <c r="BK18" s="62" t="s">
        <v>135</v>
      </c>
      <c r="BL18" s="35"/>
      <c r="BM18" s="35">
        <f t="shared" si="22"/>
        <v>0</v>
      </c>
      <c r="BW18" s="35">
        <v>21</v>
      </c>
      <c r="BX18" s="3" t="s">
        <v>144</v>
      </c>
    </row>
    <row r="19" spans="1:76">
      <c r="A19" s="1" t="s">
        <v>145</v>
      </c>
      <c r="B19" s="2" t="s">
        <v>84</v>
      </c>
      <c r="C19" s="2" t="s">
        <v>146</v>
      </c>
      <c r="D19" s="92" t="s">
        <v>147</v>
      </c>
      <c r="E19" s="87"/>
      <c r="F19" s="2" t="s">
        <v>130</v>
      </c>
      <c r="G19" s="35">
        <v>1</v>
      </c>
      <c r="H19" s="61">
        <v>0</v>
      </c>
      <c r="I19" s="35">
        <f t="shared" si="0"/>
        <v>0</v>
      </c>
      <c r="K19" s="51"/>
      <c r="Z19" s="35">
        <f t="shared" si="1"/>
        <v>0</v>
      </c>
      <c r="AB19" s="35">
        <f t="shared" si="2"/>
        <v>0</v>
      </c>
      <c r="AC19" s="35">
        <f t="shared" si="3"/>
        <v>0</v>
      </c>
      <c r="AD19" s="35">
        <f t="shared" si="4"/>
        <v>0</v>
      </c>
      <c r="AE19" s="35">
        <f t="shared" si="5"/>
        <v>0</v>
      </c>
      <c r="AF19" s="35">
        <f t="shared" si="6"/>
        <v>0</v>
      </c>
      <c r="AG19" s="35">
        <f t="shared" si="7"/>
        <v>0</v>
      </c>
      <c r="AH19" s="35">
        <f t="shared" si="8"/>
        <v>0</v>
      </c>
      <c r="AI19" s="46" t="s">
        <v>84</v>
      </c>
      <c r="AJ19" s="35">
        <f t="shared" si="9"/>
        <v>0</v>
      </c>
      <c r="AK19" s="35">
        <f t="shared" si="10"/>
        <v>0</v>
      </c>
      <c r="AL19" s="35">
        <f t="shared" si="11"/>
        <v>0</v>
      </c>
      <c r="AN19" s="35">
        <v>21</v>
      </c>
      <c r="AO19" s="35">
        <f t="shared" si="12"/>
        <v>0</v>
      </c>
      <c r="AP19" s="35">
        <f t="shared" si="13"/>
        <v>0</v>
      </c>
      <c r="AQ19" s="62" t="s">
        <v>131</v>
      </c>
      <c r="AV19" s="35">
        <f t="shared" si="14"/>
        <v>0</v>
      </c>
      <c r="AW19" s="35">
        <f t="shared" si="15"/>
        <v>0</v>
      </c>
      <c r="AX19" s="35">
        <f t="shared" si="16"/>
        <v>0</v>
      </c>
      <c r="AY19" s="62" t="s">
        <v>132</v>
      </c>
      <c r="AZ19" s="62" t="s">
        <v>133</v>
      </c>
      <c r="BA19" s="46" t="s">
        <v>134</v>
      </c>
      <c r="BC19" s="35">
        <f t="shared" si="17"/>
        <v>0</v>
      </c>
      <c r="BD19" s="35">
        <f t="shared" si="18"/>
        <v>0</v>
      </c>
      <c r="BE19" s="35">
        <v>0</v>
      </c>
      <c r="BF19" s="35">
        <f>19</f>
        <v>19</v>
      </c>
      <c r="BH19" s="35">
        <f t="shared" si="19"/>
        <v>0</v>
      </c>
      <c r="BI19" s="35">
        <f t="shared" si="20"/>
        <v>0</v>
      </c>
      <c r="BJ19" s="35">
        <f t="shared" si="21"/>
        <v>0</v>
      </c>
      <c r="BK19" s="62" t="s">
        <v>135</v>
      </c>
      <c r="BL19" s="35"/>
      <c r="BM19" s="35">
        <f t="shared" si="22"/>
        <v>0</v>
      </c>
      <c r="BW19" s="35">
        <v>21</v>
      </c>
      <c r="BX19" s="3" t="s">
        <v>147</v>
      </c>
    </row>
    <row r="20" spans="1:76">
      <c r="A20" s="1" t="s">
        <v>148</v>
      </c>
      <c r="B20" s="2" t="s">
        <v>84</v>
      </c>
      <c r="C20" s="2" t="s">
        <v>149</v>
      </c>
      <c r="D20" s="92" t="s">
        <v>150</v>
      </c>
      <c r="E20" s="87"/>
      <c r="F20" s="2" t="s">
        <v>130</v>
      </c>
      <c r="G20" s="35">
        <v>1</v>
      </c>
      <c r="H20" s="61">
        <v>0</v>
      </c>
      <c r="I20" s="35">
        <f t="shared" si="0"/>
        <v>0</v>
      </c>
      <c r="K20" s="51"/>
      <c r="Z20" s="35">
        <f t="shared" si="1"/>
        <v>0</v>
      </c>
      <c r="AB20" s="35">
        <f t="shared" si="2"/>
        <v>0</v>
      </c>
      <c r="AC20" s="35">
        <f t="shared" si="3"/>
        <v>0</v>
      </c>
      <c r="AD20" s="35">
        <f t="shared" si="4"/>
        <v>0</v>
      </c>
      <c r="AE20" s="35">
        <f t="shared" si="5"/>
        <v>0</v>
      </c>
      <c r="AF20" s="35">
        <f t="shared" si="6"/>
        <v>0</v>
      </c>
      <c r="AG20" s="35">
        <f t="shared" si="7"/>
        <v>0</v>
      </c>
      <c r="AH20" s="35">
        <f t="shared" si="8"/>
        <v>0</v>
      </c>
      <c r="AI20" s="46" t="s">
        <v>84</v>
      </c>
      <c r="AJ20" s="35">
        <f t="shared" si="9"/>
        <v>0</v>
      </c>
      <c r="AK20" s="35">
        <f t="shared" si="10"/>
        <v>0</v>
      </c>
      <c r="AL20" s="35">
        <f t="shared" si="11"/>
        <v>0</v>
      </c>
      <c r="AN20" s="35">
        <v>21</v>
      </c>
      <c r="AO20" s="35">
        <f t="shared" si="12"/>
        <v>0</v>
      </c>
      <c r="AP20" s="35">
        <f t="shared" si="13"/>
        <v>0</v>
      </c>
      <c r="AQ20" s="62" t="s">
        <v>131</v>
      </c>
      <c r="AV20" s="35">
        <f t="shared" si="14"/>
        <v>0</v>
      </c>
      <c r="AW20" s="35">
        <f t="shared" si="15"/>
        <v>0</v>
      </c>
      <c r="AX20" s="35">
        <f t="shared" si="16"/>
        <v>0</v>
      </c>
      <c r="AY20" s="62" t="s">
        <v>132</v>
      </c>
      <c r="AZ20" s="62" t="s">
        <v>133</v>
      </c>
      <c r="BA20" s="46" t="s">
        <v>134</v>
      </c>
      <c r="BC20" s="35">
        <f t="shared" si="17"/>
        <v>0</v>
      </c>
      <c r="BD20" s="35">
        <f t="shared" si="18"/>
        <v>0</v>
      </c>
      <c r="BE20" s="35">
        <v>0</v>
      </c>
      <c r="BF20" s="35">
        <f>20</f>
        <v>20</v>
      </c>
      <c r="BH20" s="35">
        <f t="shared" si="19"/>
        <v>0</v>
      </c>
      <c r="BI20" s="35">
        <f t="shared" si="20"/>
        <v>0</v>
      </c>
      <c r="BJ20" s="35">
        <f t="shared" si="21"/>
        <v>0</v>
      </c>
      <c r="BK20" s="62" t="s">
        <v>135</v>
      </c>
      <c r="BL20" s="35"/>
      <c r="BM20" s="35">
        <f t="shared" si="22"/>
        <v>0</v>
      </c>
      <c r="BW20" s="35">
        <v>21</v>
      </c>
      <c r="BX20" s="3" t="s">
        <v>150</v>
      </c>
    </row>
    <row r="21" spans="1:76">
      <c r="A21" s="1" t="s">
        <v>151</v>
      </c>
      <c r="B21" s="2" t="s">
        <v>84</v>
      </c>
      <c r="C21" s="2" t="s">
        <v>152</v>
      </c>
      <c r="D21" s="92" t="s">
        <v>153</v>
      </c>
      <c r="E21" s="87"/>
      <c r="F21" s="2" t="s">
        <v>130</v>
      </c>
      <c r="G21" s="35">
        <v>1</v>
      </c>
      <c r="H21" s="61">
        <v>0</v>
      </c>
      <c r="I21" s="35">
        <f t="shared" si="0"/>
        <v>0</v>
      </c>
      <c r="K21" s="51"/>
      <c r="Z21" s="35">
        <f t="shared" si="1"/>
        <v>0</v>
      </c>
      <c r="AB21" s="35">
        <f t="shared" si="2"/>
        <v>0</v>
      </c>
      <c r="AC21" s="35">
        <f t="shared" si="3"/>
        <v>0</v>
      </c>
      <c r="AD21" s="35">
        <f t="shared" si="4"/>
        <v>0</v>
      </c>
      <c r="AE21" s="35">
        <f t="shared" si="5"/>
        <v>0</v>
      </c>
      <c r="AF21" s="35">
        <f t="shared" si="6"/>
        <v>0</v>
      </c>
      <c r="AG21" s="35">
        <f t="shared" si="7"/>
        <v>0</v>
      </c>
      <c r="AH21" s="35">
        <f t="shared" si="8"/>
        <v>0</v>
      </c>
      <c r="AI21" s="46" t="s">
        <v>84</v>
      </c>
      <c r="AJ21" s="35">
        <f t="shared" si="9"/>
        <v>0</v>
      </c>
      <c r="AK21" s="35">
        <f t="shared" si="10"/>
        <v>0</v>
      </c>
      <c r="AL21" s="35">
        <f t="shared" si="11"/>
        <v>0</v>
      </c>
      <c r="AN21" s="35">
        <v>21</v>
      </c>
      <c r="AO21" s="35">
        <f t="shared" si="12"/>
        <v>0</v>
      </c>
      <c r="AP21" s="35">
        <f t="shared" si="13"/>
        <v>0</v>
      </c>
      <c r="AQ21" s="62" t="s">
        <v>131</v>
      </c>
      <c r="AV21" s="35">
        <f t="shared" si="14"/>
        <v>0</v>
      </c>
      <c r="AW21" s="35">
        <f t="shared" si="15"/>
        <v>0</v>
      </c>
      <c r="AX21" s="35">
        <f t="shared" si="16"/>
        <v>0</v>
      </c>
      <c r="AY21" s="62" t="s">
        <v>132</v>
      </c>
      <c r="AZ21" s="62" t="s">
        <v>133</v>
      </c>
      <c r="BA21" s="46" t="s">
        <v>134</v>
      </c>
      <c r="BC21" s="35">
        <f t="shared" si="17"/>
        <v>0</v>
      </c>
      <c r="BD21" s="35">
        <f t="shared" si="18"/>
        <v>0</v>
      </c>
      <c r="BE21" s="35">
        <v>0</v>
      </c>
      <c r="BF21" s="35">
        <f>21</f>
        <v>21</v>
      </c>
      <c r="BH21" s="35">
        <f t="shared" si="19"/>
        <v>0</v>
      </c>
      <c r="BI21" s="35">
        <f t="shared" si="20"/>
        <v>0</v>
      </c>
      <c r="BJ21" s="35">
        <f t="shared" si="21"/>
        <v>0</v>
      </c>
      <c r="BK21" s="62" t="s">
        <v>135</v>
      </c>
      <c r="BL21" s="35"/>
      <c r="BM21" s="35">
        <f t="shared" si="22"/>
        <v>0</v>
      </c>
      <c r="BW21" s="35">
        <v>21</v>
      </c>
      <c r="BX21" s="3" t="s">
        <v>153</v>
      </c>
    </row>
    <row r="22" spans="1:76">
      <c r="A22" s="1" t="s">
        <v>154</v>
      </c>
      <c r="B22" s="2" t="s">
        <v>84</v>
      </c>
      <c r="C22" s="2" t="s">
        <v>155</v>
      </c>
      <c r="D22" s="92" t="s">
        <v>156</v>
      </c>
      <c r="E22" s="87"/>
      <c r="F22" s="2" t="s">
        <v>130</v>
      </c>
      <c r="G22" s="35">
        <v>1</v>
      </c>
      <c r="H22" s="61">
        <v>0</v>
      </c>
      <c r="I22" s="35">
        <f t="shared" si="0"/>
        <v>0</v>
      </c>
      <c r="K22" s="51"/>
      <c r="Z22" s="35">
        <f t="shared" si="1"/>
        <v>0</v>
      </c>
      <c r="AB22" s="35">
        <f t="shared" si="2"/>
        <v>0</v>
      </c>
      <c r="AC22" s="35">
        <f t="shared" si="3"/>
        <v>0</v>
      </c>
      <c r="AD22" s="35">
        <f t="shared" si="4"/>
        <v>0</v>
      </c>
      <c r="AE22" s="35">
        <f t="shared" si="5"/>
        <v>0</v>
      </c>
      <c r="AF22" s="35">
        <f t="shared" si="6"/>
        <v>0</v>
      </c>
      <c r="AG22" s="35">
        <f t="shared" si="7"/>
        <v>0</v>
      </c>
      <c r="AH22" s="35">
        <f t="shared" si="8"/>
        <v>0</v>
      </c>
      <c r="AI22" s="46" t="s">
        <v>84</v>
      </c>
      <c r="AJ22" s="35">
        <f t="shared" si="9"/>
        <v>0</v>
      </c>
      <c r="AK22" s="35">
        <f t="shared" si="10"/>
        <v>0</v>
      </c>
      <c r="AL22" s="35">
        <f t="shared" si="11"/>
        <v>0</v>
      </c>
      <c r="AN22" s="35">
        <v>21</v>
      </c>
      <c r="AO22" s="35">
        <f t="shared" si="12"/>
        <v>0</v>
      </c>
      <c r="AP22" s="35">
        <f t="shared" si="13"/>
        <v>0</v>
      </c>
      <c r="AQ22" s="62" t="s">
        <v>131</v>
      </c>
      <c r="AV22" s="35">
        <f t="shared" si="14"/>
        <v>0</v>
      </c>
      <c r="AW22" s="35">
        <f t="shared" si="15"/>
        <v>0</v>
      </c>
      <c r="AX22" s="35">
        <f t="shared" si="16"/>
        <v>0</v>
      </c>
      <c r="AY22" s="62" t="s">
        <v>132</v>
      </c>
      <c r="AZ22" s="62" t="s">
        <v>133</v>
      </c>
      <c r="BA22" s="46" t="s">
        <v>134</v>
      </c>
      <c r="BC22" s="35">
        <f t="shared" si="17"/>
        <v>0</v>
      </c>
      <c r="BD22" s="35">
        <f t="shared" si="18"/>
        <v>0</v>
      </c>
      <c r="BE22" s="35">
        <v>0</v>
      </c>
      <c r="BF22" s="35">
        <f>22</f>
        <v>22</v>
      </c>
      <c r="BH22" s="35">
        <f t="shared" si="19"/>
        <v>0</v>
      </c>
      <c r="BI22" s="35">
        <f t="shared" si="20"/>
        <v>0</v>
      </c>
      <c r="BJ22" s="35">
        <f t="shared" si="21"/>
        <v>0</v>
      </c>
      <c r="BK22" s="62" t="s">
        <v>135</v>
      </c>
      <c r="BL22" s="35"/>
      <c r="BM22" s="35">
        <f t="shared" si="22"/>
        <v>0</v>
      </c>
      <c r="BW22" s="35">
        <v>21</v>
      </c>
      <c r="BX22" s="3" t="s">
        <v>156</v>
      </c>
    </row>
    <row r="23" spans="1:76">
      <c r="A23" s="1" t="s">
        <v>157</v>
      </c>
      <c r="B23" s="2" t="s">
        <v>84</v>
      </c>
      <c r="C23" s="2" t="s">
        <v>158</v>
      </c>
      <c r="D23" s="92" t="s">
        <v>159</v>
      </c>
      <c r="E23" s="87"/>
      <c r="F23" s="2" t="s">
        <v>130</v>
      </c>
      <c r="G23" s="35">
        <v>1</v>
      </c>
      <c r="H23" s="61">
        <v>0</v>
      </c>
      <c r="I23" s="35">
        <f t="shared" si="0"/>
        <v>0</v>
      </c>
      <c r="K23" s="51"/>
      <c r="Z23" s="35">
        <f t="shared" si="1"/>
        <v>0</v>
      </c>
      <c r="AB23" s="35">
        <f t="shared" si="2"/>
        <v>0</v>
      </c>
      <c r="AC23" s="35">
        <f t="shared" si="3"/>
        <v>0</v>
      </c>
      <c r="AD23" s="35">
        <f t="shared" si="4"/>
        <v>0</v>
      </c>
      <c r="AE23" s="35">
        <f t="shared" si="5"/>
        <v>0</v>
      </c>
      <c r="AF23" s="35">
        <f t="shared" si="6"/>
        <v>0</v>
      </c>
      <c r="AG23" s="35">
        <f t="shared" si="7"/>
        <v>0</v>
      </c>
      <c r="AH23" s="35">
        <f t="shared" si="8"/>
        <v>0</v>
      </c>
      <c r="AI23" s="46" t="s">
        <v>84</v>
      </c>
      <c r="AJ23" s="35">
        <f t="shared" si="9"/>
        <v>0</v>
      </c>
      <c r="AK23" s="35">
        <f t="shared" si="10"/>
        <v>0</v>
      </c>
      <c r="AL23" s="35">
        <f t="shared" si="11"/>
        <v>0</v>
      </c>
      <c r="AN23" s="35">
        <v>21</v>
      </c>
      <c r="AO23" s="35">
        <f t="shared" si="12"/>
        <v>0</v>
      </c>
      <c r="AP23" s="35">
        <f t="shared" si="13"/>
        <v>0</v>
      </c>
      <c r="AQ23" s="62" t="s">
        <v>131</v>
      </c>
      <c r="AV23" s="35">
        <f t="shared" si="14"/>
        <v>0</v>
      </c>
      <c r="AW23" s="35">
        <f t="shared" si="15"/>
        <v>0</v>
      </c>
      <c r="AX23" s="35">
        <f t="shared" si="16"/>
        <v>0</v>
      </c>
      <c r="AY23" s="62" t="s">
        <v>132</v>
      </c>
      <c r="AZ23" s="62" t="s">
        <v>133</v>
      </c>
      <c r="BA23" s="46" t="s">
        <v>134</v>
      </c>
      <c r="BC23" s="35">
        <f t="shared" si="17"/>
        <v>0</v>
      </c>
      <c r="BD23" s="35">
        <f t="shared" si="18"/>
        <v>0</v>
      </c>
      <c r="BE23" s="35">
        <v>0</v>
      </c>
      <c r="BF23" s="35">
        <f>23</f>
        <v>23</v>
      </c>
      <c r="BH23" s="35">
        <f t="shared" si="19"/>
        <v>0</v>
      </c>
      <c r="BI23" s="35">
        <f t="shared" si="20"/>
        <v>0</v>
      </c>
      <c r="BJ23" s="35">
        <f t="shared" si="21"/>
        <v>0</v>
      </c>
      <c r="BK23" s="62" t="s">
        <v>135</v>
      </c>
      <c r="BL23" s="35"/>
      <c r="BM23" s="35">
        <f t="shared" si="22"/>
        <v>0</v>
      </c>
      <c r="BW23" s="35">
        <v>21</v>
      </c>
      <c r="BX23" s="3" t="s">
        <v>159</v>
      </c>
    </row>
    <row r="24" spans="1:76">
      <c r="A24" s="1" t="s">
        <v>160</v>
      </c>
      <c r="B24" s="2" t="s">
        <v>84</v>
      </c>
      <c r="C24" s="2" t="s">
        <v>143</v>
      </c>
      <c r="D24" s="92" t="s">
        <v>161</v>
      </c>
      <c r="E24" s="87"/>
      <c r="F24" s="2" t="s">
        <v>130</v>
      </c>
      <c r="G24" s="35">
        <v>1</v>
      </c>
      <c r="H24" s="61">
        <v>0</v>
      </c>
      <c r="I24" s="35">
        <f t="shared" si="0"/>
        <v>0</v>
      </c>
      <c r="K24" s="51"/>
      <c r="Z24" s="35">
        <f t="shared" si="1"/>
        <v>0</v>
      </c>
      <c r="AB24" s="35">
        <f t="shared" si="2"/>
        <v>0</v>
      </c>
      <c r="AC24" s="35">
        <f t="shared" si="3"/>
        <v>0</v>
      </c>
      <c r="AD24" s="35">
        <f t="shared" si="4"/>
        <v>0</v>
      </c>
      <c r="AE24" s="35">
        <f t="shared" si="5"/>
        <v>0</v>
      </c>
      <c r="AF24" s="35">
        <f t="shared" si="6"/>
        <v>0</v>
      </c>
      <c r="AG24" s="35">
        <f t="shared" si="7"/>
        <v>0</v>
      </c>
      <c r="AH24" s="35">
        <f t="shared" si="8"/>
        <v>0</v>
      </c>
      <c r="AI24" s="46" t="s">
        <v>84</v>
      </c>
      <c r="AJ24" s="35">
        <f t="shared" si="9"/>
        <v>0</v>
      </c>
      <c r="AK24" s="35">
        <f t="shared" si="10"/>
        <v>0</v>
      </c>
      <c r="AL24" s="35">
        <f t="shared" si="11"/>
        <v>0</v>
      </c>
      <c r="AN24" s="35">
        <v>21</v>
      </c>
      <c r="AO24" s="35">
        <f t="shared" si="12"/>
        <v>0</v>
      </c>
      <c r="AP24" s="35">
        <f t="shared" si="13"/>
        <v>0</v>
      </c>
      <c r="AQ24" s="62" t="s">
        <v>131</v>
      </c>
      <c r="AV24" s="35">
        <f t="shared" si="14"/>
        <v>0</v>
      </c>
      <c r="AW24" s="35">
        <f t="shared" si="15"/>
        <v>0</v>
      </c>
      <c r="AX24" s="35">
        <f t="shared" si="16"/>
        <v>0</v>
      </c>
      <c r="AY24" s="62" t="s">
        <v>132</v>
      </c>
      <c r="AZ24" s="62" t="s">
        <v>133</v>
      </c>
      <c r="BA24" s="46" t="s">
        <v>134</v>
      </c>
      <c r="BC24" s="35">
        <f t="shared" si="17"/>
        <v>0</v>
      </c>
      <c r="BD24" s="35">
        <f t="shared" si="18"/>
        <v>0</v>
      </c>
      <c r="BE24" s="35">
        <v>0</v>
      </c>
      <c r="BF24" s="35">
        <f>24</f>
        <v>24</v>
      </c>
      <c r="BH24" s="35">
        <f t="shared" si="19"/>
        <v>0</v>
      </c>
      <c r="BI24" s="35">
        <f t="shared" si="20"/>
        <v>0</v>
      </c>
      <c r="BJ24" s="35">
        <f t="shared" si="21"/>
        <v>0</v>
      </c>
      <c r="BK24" s="62" t="s">
        <v>135</v>
      </c>
      <c r="BL24" s="35"/>
      <c r="BM24" s="35">
        <f t="shared" si="22"/>
        <v>0</v>
      </c>
      <c r="BW24" s="35">
        <v>21</v>
      </c>
      <c r="BX24" s="3" t="s">
        <v>161</v>
      </c>
    </row>
    <row r="25" spans="1:76">
      <c r="A25" s="1" t="s">
        <v>162</v>
      </c>
      <c r="B25" s="2" t="s">
        <v>84</v>
      </c>
      <c r="C25" s="2" t="s">
        <v>149</v>
      </c>
      <c r="D25" s="92" t="s">
        <v>163</v>
      </c>
      <c r="E25" s="87"/>
      <c r="F25" s="2" t="s">
        <v>130</v>
      </c>
      <c r="G25" s="35">
        <v>1</v>
      </c>
      <c r="H25" s="61">
        <v>0</v>
      </c>
      <c r="I25" s="35">
        <f t="shared" si="0"/>
        <v>0</v>
      </c>
      <c r="K25" s="51"/>
      <c r="Z25" s="35">
        <f t="shared" si="1"/>
        <v>0</v>
      </c>
      <c r="AB25" s="35">
        <f t="shared" si="2"/>
        <v>0</v>
      </c>
      <c r="AC25" s="35">
        <f t="shared" si="3"/>
        <v>0</v>
      </c>
      <c r="AD25" s="35">
        <f t="shared" si="4"/>
        <v>0</v>
      </c>
      <c r="AE25" s="35">
        <f t="shared" si="5"/>
        <v>0</v>
      </c>
      <c r="AF25" s="35">
        <f t="shared" si="6"/>
        <v>0</v>
      </c>
      <c r="AG25" s="35">
        <f t="shared" si="7"/>
        <v>0</v>
      </c>
      <c r="AH25" s="35">
        <f t="shared" si="8"/>
        <v>0</v>
      </c>
      <c r="AI25" s="46" t="s">
        <v>84</v>
      </c>
      <c r="AJ25" s="35">
        <f t="shared" si="9"/>
        <v>0</v>
      </c>
      <c r="AK25" s="35">
        <f t="shared" si="10"/>
        <v>0</v>
      </c>
      <c r="AL25" s="35">
        <f t="shared" si="11"/>
        <v>0</v>
      </c>
      <c r="AN25" s="35">
        <v>21</v>
      </c>
      <c r="AO25" s="35">
        <f t="shared" si="12"/>
        <v>0</v>
      </c>
      <c r="AP25" s="35">
        <f t="shared" si="13"/>
        <v>0</v>
      </c>
      <c r="AQ25" s="62" t="s">
        <v>131</v>
      </c>
      <c r="AV25" s="35">
        <f t="shared" si="14"/>
        <v>0</v>
      </c>
      <c r="AW25" s="35">
        <f t="shared" si="15"/>
        <v>0</v>
      </c>
      <c r="AX25" s="35">
        <f t="shared" si="16"/>
        <v>0</v>
      </c>
      <c r="AY25" s="62" t="s">
        <v>132</v>
      </c>
      <c r="AZ25" s="62" t="s">
        <v>133</v>
      </c>
      <c r="BA25" s="46" t="s">
        <v>134</v>
      </c>
      <c r="BC25" s="35">
        <f t="shared" si="17"/>
        <v>0</v>
      </c>
      <c r="BD25" s="35">
        <f t="shared" si="18"/>
        <v>0</v>
      </c>
      <c r="BE25" s="35">
        <v>0</v>
      </c>
      <c r="BF25" s="35">
        <f>25</f>
        <v>25</v>
      </c>
      <c r="BH25" s="35">
        <f t="shared" si="19"/>
        <v>0</v>
      </c>
      <c r="BI25" s="35">
        <f t="shared" si="20"/>
        <v>0</v>
      </c>
      <c r="BJ25" s="35">
        <f t="shared" si="21"/>
        <v>0</v>
      </c>
      <c r="BK25" s="62" t="s">
        <v>135</v>
      </c>
      <c r="BL25" s="35"/>
      <c r="BM25" s="35">
        <f t="shared" si="22"/>
        <v>0</v>
      </c>
      <c r="BW25" s="35">
        <v>21</v>
      </c>
      <c r="BX25" s="3" t="s">
        <v>163</v>
      </c>
    </row>
    <row r="26" spans="1:76">
      <c r="A26" s="1" t="s">
        <v>164</v>
      </c>
      <c r="B26" s="2" t="s">
        <v>84</v>
      </c>
      <c r="C26" s="2" t="s">
        <v>146</v>
      </c>
      <c r="D26" s="92" t="s">
        <v>165</v>
      </c>
      <c r="E26" s="87"/>
      <c r="F26" s="2" t="s">
        <v>130</v>
      </c>
      <c r="G26" s="35">
        <v>1</v>
      </c>
      <c r="H26" s="61">
        <v>0</v>
      </c>
      <c r="I26" s="35">
        <f t="shared" si="0"/>
        <v>0</v>
      </c>
      <c r="K26" s="51"/>
      <c r="Z26" s="35">
        <f t="shared" si="1"/>
        <v>0</v>
      </c>
      <c r="AB26" s="35">
        <f t="shared" si="2"/>
        <v>0</v>
      </c>
      <c r="AC26" s="35">
        <f t="shared" si="3"/>
        <v>0</v>
      </c>
      <c r="AD26" s="35">
        <f t="shared" si="4"/>
        <v>0</v>
      </c>
      <c r="AE26" s="35">
        <f t="shared" si="5"/>
        <v>0</v>
      </c>
      <c r="AF26" s="35">
        <f t="shared" si="6"/>
        <v>0</v>
      </c>
      <c r="AG26" s="35">
        <f t="shared" si="7"/>
        <v>0</v>
      </c>
      <c r="AH26" s="35">
        <f t="shared" si="8"/>
        <v>0</v>
      </c>
      <c r="AI26" s="46" t="s">
        <v>84</v>
      </c>
      <c r="AJ26" s="35">
        <f t="shared" si="9"/>
        <v>0</v>
      </c>
      <c r="AK26" s="35">
        <f t="shared" si="10"/>
        <v>0</v>
      </c>
      <c r="AL26" s="35">
        <f t="shared" si="11"/>
        <v>0</v>
      </c>
      <c r="AN26" s="35">
        <v>21</v>
      </c>
      <c r="AO26" s="35">
        <f t="shared" si="12"/>
        <v>0</v>
      </c>
      <c r="AP26" s="35">
        <f t="shared" si="13"/>
        <v>0</v>
      </c>
      <c r="AQ26" s="62" t="s">
        <v>131</v>
      </c>
      <c r="AV26" s="35">
        <f t="shared" si="14"/>
        <v>0</v>
      </c>
      <c r="AW26" s="35">
        <f t="shared" si="15"/>
        <v>0</v>
      </c>
      <c r="AX26" s="35">
        <f t="shared" si="16"/>
        <v>0</v>
      </c>
      <c r="AY26" s="62" t="s">
        <v>132</v>
      </c>
      <c r="AZ26" s="62" t="s">
        <v>133</v>
      </c>
      <c r="BA26" s="46" t="s">
        <v>134</v>
      </c>
      <c r="BC26" s="35">
        <f t="shared" si="17"/>
        <v>0</v>
      </c>
      <c r="BD26" s="35">
        <f t="shared" si="18"/>
        <v>0</v>
      </c>
      <c r="BE26" s="35">
        <v>0</v>
      </c>
      <c r="BF26" s="35">
        <f>26</f>
        <v>26</v>
      </c>
      <c r="BH26" s="35">
        <f t="shared" si="19"/>
        <v>0</v>
      </c>
      <c r="BI26" s="35">
        <f t="shared" si="20"/>
        <v>0</v>
      </c>
      <c r="BJ26" s="35">
        <f t="shared" si="21"/>
        <v>0</v>
      </c>
      <c r="BK26" s="62" t="s">
        <v>135</v>
      </c>
      <c r="BL26" s="35"/>
      <c r="BM26" s="35">
        <f t="shared" si="22"/>
        <v>0</v>
      </c>
      <c r="BW26" s="35">
        <v>21</v>
      </c>
      <c r="BX26" s="3" t="s">
        <v>165</v>
      </c>
    </row>
    <row r="27" spans="1:76">
      <c r="A27" s="1" t="s">
        <v>166</v>
      </c>
      <c r="B27" s="2" t="s">
        <v>84</v>
      </c>
      <c r="C27" s="2" t="s">
        <v>152</v>
      </c>
      <c r="D27" s="92" t="s">
        <v>167</v>
      </c>
      <c r="E27" s="87"/>
      <c r="F27" s="2" t="s">
        <v>130</v>
      </c>
      <c r="G27" s="35">
        <v>1</v>
      </c>
      <c r="H27" s="61">
        <v>0</v>
      </c>
      <c r="I27" s="35">
        <f t="shared" si="0"/>
        <v>0</v>
      </c>
      <c r="K27" s="51"/>
      <c r="Z27" s="35">
        <f t="shared" si="1"/>
        <v>0</v>
      </c>
      <c r="AB27" s="35">
        <f t="shared" si="2"/>
        <v>0</v>
      </c>
      <c r="AC27" s="35">
        <f t="shared" si="3"/>
        <v>0</v>
      </c>
      <c r="AD27" s="35">
        <f t="shared" si="4"/>
        <v>0</v>
      </c>
      <c r="AE27" s="35">
        <f t="shared" si="5"/>
        <v>0</v>
      </c>
      <c r="AF27" s="35">
        <f t="shared" si="6"/>
        <v>0</v>
      </c>
      <c r="AG27" s="35">
        <f t="shared" si="7"/>
        <v>0</v>
      </c>
      <c r="AH27" s="35">
        <f t="shared" si="8"/>
        <v>0</v>
      </c>
      <c r="AI27" s="46" t="s">
        <v>84</v>
      </c>
      <c r="AJ27" s="35">
        <f t="shared" si="9"/>
        <v>0</v>
      </c>
      <c r="AK27" s="35">
        <f t="shared" si="10"/>
        <v>0</v>
      </c>
      <c r="AL27" s="35">
        <f t="shared" si="11"/>
        <v>0</v>
      </c>
      <c r="AN27" s="35">
        <v>21</v>
      </c>
      <c r="AO27" s="35">
        <f t="shared" si="12"/>
        <v>0</v>
      </c>
      <c r="AP27" s="35">
        <f t="shared" si="13"/>
        <v>0</v>
      </c>
      <c r="AQ27" s="62" t="s">
        <v>131</v>
      </c>
      <c r="AV27" s="35">
        <f t="shared" si="14"/>
        <v>0</v>
      </c>
      <c r="AW27" s="35">
        <f t="shared" si="15"/>
        <v>0</v>
      </c>
      <c r="AX27" s="35">
        <f t="shared" si="16"/>
        <v>0</v>
      </c>
      <c r="AY27" s="62" t="s">
        <v>132</v>
      </c>
      <c r="AZ27" s="62" t="s">
        <v>133</v>
      </c>
      <c r="BA27" s="46" t="s">
        <v>134</v>
      </c>
      <c r="BC27" s="35">
        <f t="shared" si="17"/>
        <v>0</v>
      </c>
      <c r="BD27" s="35">
        <f t="shared" si="18"/>
        <v>0</v>
      </c>
      <c r="BE27" s="35">
        <v>0</v>
      </c>
      <c r="BF27" s="35">
        <f>27</f>
        <v>27</v>
      </c>
      <c r="BH27" s="35">
        <f t="shared" si="19"/>
        <v>0</v>
      </c>
      <c r="BI27" s="35">
        <f t="shared" si="20"/>
        <v>0</v>
      </c>
      <c r="BJ27" s="35">
        <f t="shared" si="21"/>
        <v>0</v>
      </c>
      <c r="BK27" s="62" t="s">
        <v>135</v>
      </c>
      <c r="BL27" s="35"/>
      <c r="BM27" s="35">
        <f t="shared" si="22"/>
        <v>0</v>
      </c>
      <c r="BW27" s="35">
        <v>21</v>
      </c>
      <c r="BX27" s="3" t="s">
        <v>167</v>
      </c>
    </row>
    <row r="28" spans="1:76">
      <c r="A28" s="1" t="s">
        <v>168</v>
      </c>
      <c r="B28" s="2" t="s">
        <v>84</v>
      </c>
      <c r="C28" s="2" t="s">
        <v>169</v>
      </c>
      <c r="D28" s="92" t="s">
        <v>170</v>
      </c>
      <c r="E28" s="87"/>
      <c r="F28" s="2" t="s">
        <v>130</v>
      </c>
      <c r="G28" s="35">
        <v>1</v>
      </c>
      <c r="H28" s="61">
        <v>0</v>
      </c>
      <c r="I28" s="35">
        <f t="shared" si="0"/>
        <v>0</v>
      </c>
      <c r="K28" s="51"/>
      <c r="Z28" s="35">
        <f t="shared" si="1"/>
        <v>0</v>
      </c>
      <c r="AB28" s="35">
        <f t="shared" si="2"/>
        <v>0</v>
      </c>
      <c r="AC28" s="35">
        <f t="shared" si="3"/>
        <v>0</v>
      </c>
      <c r="AD28" s="35">
        <f t="shared" si="4"/>
        <v>0</v>
      </c>
      <c r="AE28" s="35">
        <f t="shared" si="5"/>
        <v>0</v>
      </c>
      <c r="AF28" s="35">
        <f t="shared" si="6"/>
        <v>0</v>
      </c>
      <c r="AG28" s="35">
        <f t="shared" si="7"/>
        <v>0</v>
      </c>
      <c r="AH28" s="35">
        <f t="shared" si="8"/>
        <v>0</v>
      </c>
      <c r="AI28" s="46" t="s">
        <v>84</v>
      </c>
      <c r="AJ28" s="35">
        <f t="shared" si="9"/>
        <v>0</v>
      </c>
      <c r="AK28" s="35">
        <f t="shared" si="10"/>
        <v>0</v>
      </c>
      <c r="AL28" s="35">
        <f t="shared" si="11"/>
        <v>0</v>
      </c>
      <c r="AN28" s="35">
        <v>21</v>
      </c>
      <c r="AO28" s="35">
        <f t="shared" si="12"/>
        <v>0</v>
      </c>
      <c r="AP28" s="35">
        <f t="shared" si="13"/>
        <v>0</v>
      </c>
      <c r="AQ28" s="62" t="s">
        <v>131</v>
      </c>
      <c r="AV28" s="35">
        <f t="shared" si="14"/>
        <v>0</v>
      </c>
      <c r="AW28" s="35">
        <f t="shared" si="15"/>
        <v>0</v>
      </c>
      <c r="AX28" s="35">
        <f t="shared" si="16"/>
        <v>0</v>
      </c>
      <c r="AY28" s="62" t="s">
        <v>132</v>
      </c>
      <c r="AZ28" s="62" t="s">
        <v>133</v>
      </c>
      <c r="BA28" s="46" t="s">
        <v>134</v>
      </c>
      <c r="BC28" s="35">
        <f t="shared" si="17"/>
        <v>0</v>
      </c>
      <c r="BD28" s="35">
        <f t="shared" si="18"/>
        <v>0</v>
      </c>
      <c r="BE28" s="35">
        <v>0</v>
      </c>
      <c r="BF28" s="35">
        <f>28</f>
        <v>28</v>
      </c>
      <c r="BH28" s="35">
        <f t="shared" si="19"/>
        <v>0</v>
      </c>
      <c r="BI28" s="35">
        <f t="shared" si="20"/>
        <v>0</v>
      </c>
      <c r="BJ28" s="35">
        <f t="shared" si="21"/>
        <v>0</v>
      </c>
      <c r="BK28" s="62" t="s">
        <v>135</v>
      </c>
      <c r="BL28" s="35"/>
      <c r="BM28" s="35">
        <f t="shared" si="22"/>
        <v>0</v>
      </c>
      <c r="BW28" s="35">
        <v>21</v>
      </c>
      <c r="BX28" s="3" t="s">
        <v>170</v>
      </c>
    </row>
    <row r="29" spans="1:76">
      <c r="A29" s="1" t="s">
        <v>171</v>
      </c>
      <c r="B29" s="2" t="s">
        <v>84</v>
      </c>
      <c r="C29" s="2" t="s">
        <v>152</v>
      </c>
      <c r="D29" s="92" t="s">
        <v>172</v>
      </c>
      <c r="E29" s="87"/>
      <c r="F29" s="2" t="s">
        <v>130</v>
      </c>
      <c r="G29" s="35">
        <v>1</v>
      </c>
      <c r="H29" s="61">
        <v>0</v>
      </c>
      <c r="I29" s="35">
        <f t="shared" si="0"/>
        <v>0</v>
      </c>
      <c r="K29" s="51"/>
      <c r="Z29" s="35">
        <f t="shared" si="1"/>
        <v>0</v>
      </c>
      <c r="AB29" s="35">
        <f t="shared" si="2"/>
        <v>0</v>
      </c>
      <c r="AC29" s="35">
        <f t="shared" si="3"/>
        <v>0</v>
      </c>
      <c r="AD29" s="35">
        <f t="shared" si="4"/>
        <v>0</v>
      </c>
      <c r="AE29" s="35">
        <f t="shared" si="5"/>
        <v>0</v>
      </c>
      <c r="AF29" s="35">
        <f t="shared" si="6"/>
        <v>0</v>
      </c>
      <c r="AG29" s="35">
        <f t="shared" si="7"/>
        <v>0</v>
      </c>
      <c r="AH29" s="35">
        <f t="shared" si="8"/>
        <v>0</v>
      </c>
      <c r="AI29" s="46" t="s">
        <v>84</v>
      </c>
      <c r="AJ29" s="35">
        <f t="shared" si="9"/>
        <v>0</v>
      </c>
      <c r="AK29" s="35">
        <f t="shared" si="10"/>
        <v>0</v>
      </c>
      <c r="AL29" s="35">
        <f t="shared" si="11"/>
        <v>0</v>
      </c>
      <c r="AN29" s="35">
        <v>21</v>
      </c>
      <c r="AO29" s="35">
        <f t="shared" si="12"/>
        <v>0</v>
      </c>
      <c r="AP29" s="35">
        <f t="shared" si="13"/>
        <v>0</v>
      </c>
      <c r="AQ29" s="62" t="s">
        <v>131</v>
      </c>
      <c r="AV29" s="35">
        <f t="shared" si="14"/>
        <v>0</v>
      </c>
      <c r="AW29" s="35">
        <f t="shared" si="15"/>
        <v>0</v>
      </c>
      <c r="AX29" s="35">
        <f t="shared" si="16"/>
        <v>0</v>
      </c>
      <c r="AY29" s="62" t="s">
        <v>132</v>
      </c>
      <c r="AZ29" s="62" t="s">
        <v>133</v>
      </c>
      <c r="BA29" s="46" t="s">
        <v>134</v>
      </c>
      <c r="BC29" s="35">
        <f t="shared" si="17"/>
        <v>0</v>
      </c>
      <c r="BD29" s="35">
        <f t="shared" si="18"/>
        <v>0</v>
      </c>
      <c r="BE29" s="35">
        <v>0</v>
      </c>
      <c r="BF29" s="35">
        <f>29</f>
        <v>29</v>
      </c>
      <c r="BH29" s="35">
        <f t="shared" si="19"/>
        <v>0</v>
      </c>
      <c r="BI29" s="35">
        <f t="shared" si="20"/>
        <v>0</v>
      </c>
      <c r="BJ29" s="35">
        <f t="shared" si="21"/>
        <v>0</v>
      </c>
      <c r="BK29" s="62" t="s">
        <v>135</v>
      </c>
      <c r="BL29" s="35"/>
      <c r="BM29" s="35">
        <f t="shared" si="22"/>
        <v>0</v>
      </c>
      <c r="BW29" s="35">
        <v>21</v>
      </c>
      <c r="BX29" s="3" t="s">
        <v>172</v>
      </c>
    </row>
    <row r="30" spans="1:76">
      <c r="A30" s="1" t="s">
        <v>173</v>
      </c>
      <c r="B30" s="2" t="s">
        <v>84</v>
      </c>
      <c r="C30" s="2" t="s">
        <v>143</v>
      </c>
      <c r="D30" s="92" t="s">
        <v>174</v>
      </c>
      <c r="E30" s="87"/>
      <c r="F30" s="2" t="s">
        <v>130</v>
      </c>
      <c r="G30" s="35">
        <v>1</v>
      </c>
      <c r="H30" s="61">
        <v>0</v>
      </c>
      <c r="I30" s="35">
        <f t="shared" si="0"/>
        <v>0</v>
      </c>
      <c r="K30" s="51"/>
      <c r="Z30" s="35">
        <f t="shared" si="1"/>
        <v>0</v>
      </c>
      <c r="AB30" s="35">
        <f t="shared" si="2"/>
        <v>0</v>
      </c>
      <c r="AC30" s="35">
        <f t="shared" si="3"/>
        <v>0</v>
      </c>
      <c r="AD30" s="35">
        <f t="shared" si="4"/>
        <v>0</v>
      </c>
      <c r="AE30" s="35">
        <f t="shared" si="5"/>
        <v>0</v>
      </c>
      <c r="AF30" s="35">
        <f t="shared" si="6"/>
        <v>0</v>
      </c>
      <c r="AG30" s="35">
        <f t="shared" si="7"/>
        <v>0</v>
      </c>
      <c r="AH30" s="35">
        <f t="shared" si="8"/>
        <v>0</v>
      </c>
      <c r="AI30" s="46" t="s">
        <v>84</v>
      </c>
      <c r="AJ30" s="35">
        <f t="shared" si="9"/>
        <v>0</v>
      </c>
      <c r="AK30" s="35">
        <f t="shared" si="10"/>
        <v>0</v>
      </c>
      <c r="AL30" s="35">
        <f t="shared" si="11"/>
        <v>0</v>
      </c>
      <c r="AN30" s="35">
        <v>21</v>
      </c>
      <c r="AO30" s="35">
        <f t="shared" si="12"/>
        <v>0</v>
      </c>
      <c r="AP30" s="35">
        <f t="shared" si="13"/>
        <v>0</v>
      </c>
      <c r="AQ30" s="62" t="s">
        <v>131</v>
      </c>
      <c r="AV30" s="35">
        <f t="shared" si="14"/>
        <v>0</v>
      </c>
      <c r="AW30" s="35">
        <f t="shared" si="15"/>
        <v>0</v>
      </c>
      <c r="AX30" s="35">
        <f t="shared" si="16"/>
        <v>0</v>
      </c>
      <c r="AY30" s="62" t="s">
        <v>132</v>
      </c>
      <c r="AZ30" s="62" t="s">
        <v>133</v>
      </c>
      <c r="BA30" s="46" t="s">
        <v>134</v>
      </c>
      <c r="BC30" s="35">
        <f t="shared" si="17"/>
        <v>0</v>
      </c>
      <c r="BD30" s="35">
        <f t="shared" si="18"/>
        <v>0</v>
      </c>
      <c r="BE30" s="35">
        <v>0</v>
      </c>
      <c r="BF30" s="35">
        <f>30</f>
        <v>30</v>
      </c>
      <c r="BH30" s="35">
        <f t="shared" si="19"/>
        <v>0</v>
      </c>
      <c r="BI30" s="35">
        <f t="shared" si="20"/>
        <v>0</v>
      </c>
      <c r="BJ30" s="35">
        <f t="shared" si="21"/>
        <v>0</v>
      </c>
      <c r="BK30" s="62" t="s">
        <v>135</v>
      </c>
      <c r="BL30" s="35"/>
      <c r="BM30" s="35">
        <f t="shared" si="22"/>
        <v>0</v>
      </c>
      <c r="BW30" s="35">
        <v>21</v>
      </c>
      <c r="BX30" s="3" t="s">
        <v>174</v>
      </c>
    </row>
    <row r="31" spans="1:76">
      <c r="A31" s="1" t="s">
        <v>175</v>
      </c>
      <c r="B31" s="2" t="s">
        <v>84</v>
      </c>
      <c r="C31" s="2" t="s">
        <v>146</v>
      </c>
      <c r="D31" s="92" t="s">
        <v>176</v>
      </c>
      <c r="E31" s="87"/>
      <c r="F31" s="2" t="s">
        <v>130</v>
      </c>
      <c r="G31" s="35">
        <v>1</v>
      </c>
      <c r="H31" s="61">
        <v>0</v>
      </c>
      <c r="I31" s="35">
        <f t="shared" si="0"/>
        <v>0</v>
      </c>
      <c r="K31" s="51"/>
      <c r="Z31" s="35">
        <f t="shared" si="1"/>
        <v>0</v>
      </c>
      <c r="AB31" s="35">
        <f t="shared" si="2"/>
        <v>0</v>
      </c>
      <c r="AC31" s="35">
        <f t="shared" si="3"/>
        <v>0</v>
      </c>
      <c r="AD31" s="35">
        <f t="shared" si="4"/>
        <v>0</v>
      </c>
      <c r="AE31" s="35">
        <f t="shared" si="5"/>
        <v>0</v>
      </c>
      <c r="AF31" s="35">
        <f t="shared" si="6"/>
        <v>0</v>
      </c>
      <c r="AG31" s="35">
        <f t="shared" si="7"/>
        <v>0</v>
      </c>
      <c r="AH31" s="35">
        <f t="shared" si="8"/>
        <v>0</v>
      </c>
      <c r="AI31" s="46" t="s">
        <v>84</v>
      </c>
      <c r="AJ31" s="35">
        <f t="shared" si="9"/>
        <v>0</v>
      </c>
      <c r="AK31" s="35">
        <f t="shared" si="10"/>
        <v>0</v>
      </c>
      <c r="AL31" s="35">
        <f t="shared" si="11"/>
        <v>0</v>
      </c>
      <c r="AN31" s="35">
        <v>21</v>
      </c>
      <c r="AO31" s="35">
        <f t="shared" si="12"/>
        <v>0</v>
      </c>
      <c r="AP31" s="35">
        <f t="shared" si="13"/>
        <v>0</v>
      </c>
      <c r="AQ31" s="62" t="s">
        <v>131</v>
      </c>
      <c r="AV31" s="35">
        <f t="shared" si="14"/>
        <v>0</v>
      </c>
      <c r="AW31" s="35">
        <f t="shared" si="15"/>
        <v>0</v>
      </c>
      <c r="AX31" s="35">
        <f t="shared" si="16"/>
        <v>0</v>
      </c>
      <c r="AY31" s="62" t="s">
        <v>132</v>
      </c>
      <c r="AZ31" s="62" t="s">
        <v>133</v>
      </c>
      <c r="BA31" s="46" t="s">
        <v>134</v>
      </c>
      <c r="BC31" s="35">
        <f t="shared" si="17"/>
        <v>0</v>
      </c>
      <c r="BD31" s="35">
        <f t="shared" si="18"/>
        <v>0</v>
      </c>
      <c r="BE31" s="35">
        <v>0</v>
      </c>
      <c r="BF31" s="35">
        <f>31</f>
        <v>31</v>
      </c>
      <c r="BH31" s="35">
        <f t="shared" si="19"/>
        <v>0</v>
      </c>
      <c r="BI31" s="35">
        <f t="shared" si="20"/>
        <v>0</v>
      </c>
      <c r="BJ31" s="35">
        <f t="shared" si="21"/>
        <v>0</v>
      </c>
      <c r="BK31" s="62" t="s">
        <v>135</v>
      </c>
      <c r="BL31" s="35"/>
      <c r="BM31" s="35">
        <f t="shared" si="22"/>
        <v>0</v>
      </c>
      <c r="BW31" s="35">
        <v>21</v>
      </c>
      <c r="BX31" s="3" t="s">
        <v>176</v>
      </c>
    </row>
    <row r="32" spans="1:76">
      <c r="A32" s="1" t="s">
        <v>177</v>
      </c>
      <c r="B32" s="2" t="s">
        <v>84</v>
      </c>
      <c r="C32" s="2" t="s">
        <v>149</v>
      </c>
      <c r="D32" s="92" t="s">
        <v>178</v>
      </c>
      <c r="E32" s="87"/>
      <c r="F32" s="2" t="s">
        <v>130</v>
      </c>
      <c r="G32" s="35">
        <v>1</v>
      </c>
      <c r="H32" s="61">
        <v>0</v>
      </c>
      <c r="I32" s="35">
        <f t="shared" si="0"/>
        <v>0</v>
      </c>
      <c r="K32" s="51"/>
      <c r="Z32" s="35">
        <f t="shared" si="1"/>
        <v>0</v>
      </c>
      <c r="AB32" s="35">
        <f t="shared" si="2"/>
        <v>0</v>
      </c>
      <c r="AC32" s="35">
        <f t="shared" si="3"/>
        <v>0</v>
      </c>
      <c r="AD32" s="35">
        <f t="shared" si="4"/>
        <v>0</v>
      </c>
      <c r="AE32" s="35">
        <f t="shared" si="5"/>
        <v>0</v>
      </c>
      <c r="AF32" s="35">
        <f t="shared" si="6"/>
        <v>0</v>
      </c>
      <c r="AG32" s="35">
        <f t="shared" si="7"/>
        <v>0</v>
      </c>
      <c r="AH32" s="35">
        <f t="shared" si="8"/>
        <v>0</v>
      </c>
      <c r="AI32" s="46" t="s">
        <v>84</v>
      </c>
      <c r="AJ32" s="35">
        <f t="shared" si="9"/>
        <v>0</v>
      </c>
      <c r="AK32" s="35">
        <f t="shared" si="10"/>
        <v>0</v>
      </c>
      <c r="AL32" s="35">
        <f t="shared" si="11"/>
        <v>0</v>
      </c>
      <c r="AN32" s="35">
        <v>21</v>
      </c>
      <c r="AO32" s="35">
        <f t="shared" si="12"/>
        <v>0</v>
      </c>
      <c r="AP32" s="35">
        <f t="shared" si="13"/>
        <v>0</v>
      </c>
      <c r="AQ32" s="62" t="s">
        <v>131</v>
      </c>
      <c r="AV32" s="35">
        <f t="shared" si="14"/>
        <v>0</v>
      </c>
      <c r="AW32" s="35">
        <f t="shared" si="15"/>
        <v>0</v>
      </c>
      <c r="AX32" s="35">
        <f t="shared" si="16"/>
        <v>0</v>
      </c>
      <c r="AY32" s="62" t="s">
        <v>132</v>
      </c>
      <c r="AZ32" s="62" t="s">
        <v>133</v>
      </c>
      <c r="BA32" s="46" t="s">
        <v>134</v>
      </c>
      <c r="BC32" s="35">
        <f t="shared" si="17"/>
        <v>0</v>
      </c>
      <c r="BD32" s="35">
        <f t="shared" si="18"/>
        <v>0</v>
      </c>
      <c r="BE32" s="35">
        <v>0</v>
      </c>
      <c r="BF32" s="35">
        <f>32</f>
        <v>32</v>
      </c>
      <c r="BH32" s="35">
        <f t="shared" si="19"/>
        <v>0</v>
      </c>
      <c r="BI32" s="35">
        <f t="shared" si="20"/>
        <v>0</v>
      </c>
      <c r="BJ32" s="35">
        <f t="shared" si="21"/>
        <v>0</v>
      </c>
      <c r="BK32" s="62" t="s">
        <v>135</v>
      </c>
      <c r="BL32" s="35"/>
      <c r="BM32" s="35">
        <f t="shared" si="22"/>
        <v>0</v>
      </c>
      <c r="BW32" s="35">
        <v>21</v>
      </c>
      <c r="BX32" s="3" t="s">
        <v>178</v>
      </c>
    </row>
    <row r="33" spans="1:76">
      <c r="A33" s="57" t="s">
        <v>4</v>
      </c>
      <c r="B33" s="58" t="s">
        <v>84</v>
      </c>
      <c r="C33" s="58" t="s">
        <v>179</v>
      </c>
      <c r="D33" s="174" t="s">
        <v>25</v>
      </c>
      <c r="E33" s="175"/>
      <c r="F33" s="59" t="s">
        <v>79</v>
      </c>
      <c r="G33" s="59" t="s">
        <v>79</v>
      </c>
      <c r="H33" s="60" t="s">
        <v>79</v>
      </c>
      <c r="I33" s="40">
        <f>SUM(I34:I36)</f>
        <v>0</v>
      </c>
      <c r="K33" s="51"/>
      <c r="AI33" s="46" t="s">
        <v>84</v>
      </c>
      <c r="AS33" s="40">
        <f>SUM(AJ34:AJ36)</f>
        <v>0</v>
      </c>
      <c r="AT33" s="40">
        <f>SUM(AK34:AK36)</f>
        <v>0</v>
      </c>
      <c r="AU33" s="40">
        <f>SUM(AL34:AL36)</f>
        <v>0</v>
      </c>
    </row>
    <row r="34" spans="1:76">
      <c r="A34" s="1" t="s">
        <v>180</v>
      </c>
      <c r="B34" s="2" t="s">
        <v>84</v>
      </c>
      <c r="C34" s="2" t="s">
        <v>181</v>
      </c>
      <c r="D34" s="92" t="s">
        <v>182</v>
      </c>
      <c r="E34" s="87"/>
      <c r="F34" s="2" t="s">
        <v>130</v>
      </c>
      <c r="G34" s="35">
        <v>1</v>
      </c>
      <c r="H34" s="61">
        <v>0</v>
      </c>
      <c r="I34" s="35">
        <f>ROUND(G34*H34,2)</f>
        <v>0</v>
      </c>
      <c r="K34" s="51"/>
      <c r="Z34" s="35">
        <f>ROUND(IF(AQ34="5",BJ34,0),2)</f>
        <v>0</v>
      </c>
      <c r="AB34" s="35">
        <f>ROUND(IF(AQ34="1",BH34,0),2)</f>
        <v>0</v>
      </c>
      <c r="AC34" s="35">
        <f>ROUND(IF(AQ34="1",BI34,0),2)</f>
        <v>0</v>
      </c>
      <c r="AD34" s="35">
        <f>ROUND(IF(AQ34="7",BH34,0),2)</f>
        <v>0</v>
      </c>
      <c r="AE34" s="35">
        <f>ROUND(IF(AQ34="7",BI34,0),2)</f>
        <v>0</v>
      </c>
      <c r="AF34" s="35">
        <f>ROUND(IF(AQ34="2",BH34,0),2)</f>
        <v>0</v>
      </c>
      <c r="AG34" s="35">
        <f>ROUND(IF(AQ34="2",BI34,0),2)</f>
        <v>0</v>
      </c>
      <c r="AH34" s="35">
        <f>ROUND(IF(AQ34="0",BJ34,0),2)</f>
        <v>0</v>
      </c>
      <c r="AI34" s="46" t="s">
        <v>84</v>
      </c>
      <c r="AJ34" s="35">
        <f>IF(AN34=0,I34,0)</f>
        <v>0</v>
      </c>
      <c r="AK34" s="35">
        <f>IF(AN34=12,I34,0)</f>
        <v>0</v>
      </c>
      <c r="AL34" s="35">
        <f>IF(AN34=21,I34,0)</f>
        <v>0</v>
      </c>
      <c r="AN34" s="35">
        <v>21</v>
      </c>
      <c r="AO34" s="35">
        <f>H34*0</f>
        <v>0</v>
      </c>
      <c r="AP34" s="35">
        <f>H34*(1-0)</f>
        <v>0</v>
      </c>
      <c r="AQ34" s="62" t="s">
        <v>131</v>
      </c>
      <c r="AV34" s="35">
        <f>ROUND(AW34+AX34,2)</f>
        <v>0</v>
      </c>
      <c r="AW34" s="35">
        <f>ROUND(G34*AO34,2)</f>
        <v>0</v>
      </c>
      <c r="AX34" s="35">
        <f>ROUND(G34*AP34,2)</f>
        <v>0</v>
      </c>
      <c r="AY34" s="62" t="s">
        <v>183</v>
      </c>
      <c r="AZ34" s="62" t="s">
        <v>133</v>
      </c>
      <c r="BA34" s="46" t="s">
        <v>134</v>
      </c>
      <c r="BC34" s="35">
        <f>AW34+AX34</f>
        <v>0</v>
      </c>
      <c r="BD34" s="35">
        <f>H34/(100-BE34)*100</f>
        <v>0</v>
      </c>
      <c r="BE34" s="35">
        <v>0</v>
      </c>
      <c r="BF34" s="35">
        <f>34</f>
        <v>34</v>
      </c>
      <c r="BH34" s="35">
        <f>G34*AO34</f>
        <v>0</v>
      </c>
      <c r="BI34" s="35">
        <f>G34*AP34</f>
        <v>0</v>
      </c>
      <c r="BJ34" s="35">
        <f>G34*H34</f>
        <v>0</v>
      </c>
      <c r="BK34" s="62" t="s">
        <v>135</v>
      </c>
      <c r="BL34" s="35"/>
      <c r="BO34" s="35">
        <f>G34*H34</f>
        <v>0</v>
      </c>
      <c r="BW34" s="35">
        <v>21</v>
      </c>
      <c r="BX34" s="3" t="s">
        <v>182</v>
      </c>
    </row>
    <row r="35" spans="1:76">
      <c r="A35" s="1" t="s">
        <v>184</v>
      </c>
      <c r="B35" s="2" t="s">
        <v>84</v>
      </c>
      <c r="C35" s="2" t="s">
        <v>181</v>
      </c>
      <c r="D35" s="92" t="s">
        <v>185</v>
      </c>
      <c r="E35" s="87"/>
      <c r="F35" s="2" t="s">
        <v>130</v>
      </c>
      <c r="G35" s="35">
        <v>1</v>
      </c>
      <c r="H35" s="61">
        <v>0</v>
      </c>
      <c r="I35" s="35">
        <f>ROUND(G35*H35,2)</f>
        <v>0</v>
      </c>
      <c r="K35" s="51"/>
      <c r="Z35" s="35">
        <f>ROUND(IF(AQ35="5",BJ35,0),2)</f>
        <v>0</v>
      </c>
      <c r="AB35" s="35">
        <f>ROUND(IF(AQ35="1",BH35,0),2)</f>
        <v>0</v>
      </c>
      <c r="AC35" s="35">
        <f>ROUND(IF(AQ35="1",BI35,0),2)</f>
        <v>0</v>
      </c>
      <c r="AD35" s="35">
        <f>ROUND(IF(AQ35="7",BH35,0),2)</f>
        <v>0</v>
      </c>
      <c r="AE35" s="35">
        <f>ROUND(IF(AQ35="7",BI35,0),2)</f>
        <v>0</v>
      </c>
      <c r="AF35" s="35">
        <f>ROUND(IF(AQ35="2",BH35,0),2)</f>
        <v>0</v>
      </c>
      <c r="AG35" s="35">
        <f>ROUND(IF(AQ35="2",BI35,0),2)</f>
        <v>0</v>
      </c>
      <c r="AH35" s="35">
        <f>ROUND(IF(AQ35="0",BJ35,0),2)</f>
        <v>0</v>
      </c>
      <c r="AI35" s="46" t="s">
        <v>84</v>
      </c>
      <c r="AJ35" s="35">
        <f>IF(AN35=0,I35,0)</f>
        <v>0</v>
      </c>
      <c r="AK35" s="35">
        <f>IF(AN35=12,I35,0)</f>
        <v>0</v>
      </c>
      <c r="AL35" s="35">
        <f>IF(AN35=21,I35,0)</f>
        <v>0</v>
      </c>
      <c r="AN35" s="35">
        <v>21</v>
      </c>
      <c r="AO35" s="35">
        <f>H35*0</f>
        <v>0</v>
      </c>
      <c r="AP35" s="35">
        <f>H35*(1-0)</f>
        <v>0</v>
      </c>
      <c r="AQ35" s="62" t="s">
        <v>131</v>
      </c>
      <c r="AV35" s="35">
        <f>ROUND(AW35+AX35,2)</f>
        <v>0</v>
      </c>
      <c r="AW35" s="35">
        <f>ROUND(G35*AO35,2)</f>
        <v>0</v>
      </c>
      <c r="AX35" s="35">
        <f>ROUND(G35*AP35,2)</f>
        <v>0</v>
      </c>
      <c r="AY35" s="62" t="s">
        <v>183</v>
      </c>
      <c r="AZ35" s="62" t="s">
        <v>133</v>
      </c>
      <c r="BA35" s="46" t="s">
        <v>134</v>
      </c>
      <c r="BC35" s="35">
        <f>AW35+AX35</f>
        <v>0</v>
      </c>
      <c r="BD35" s="35">
        <f>H35/(100-BE35)*100</f>
        <v>0</v>
      </c>
      <c r="BE35" s="35">
        <v>0</v>
      </c>
      <c r="BF35" s="35">
        <f>35</f>
        <v>35</v>
      </c>
      <c r="BH35" s="35">
        <f>G35*AO35</f>
        <v>0</v>
      </c>
      <c r="BI35" s="35">
        <f>G35*AP35</f>
        <v>0</v>
      </c>
      <c r="BJ35" s="35">
        <f>G35*H35</f>
        <v>0</v>
      </c>
      <c r="BK35" s="62" t="s">
        <v>135</v>
      </c>
      <c r="BL35" s="35"/>
      <c r="BO35" s="35">
        <f>G35*H35</f>
        <v>0</v>
      </c>
      <c r="BW35" s="35">
        <v>21</v>
      </c>
      <c r="BX35" s="3" t="s">
        <v>185</v>
      </c>
    </row>
    <row r="36" spans="1:76">
      <c r="A36" s="1" t="s">
        <v>186</v>
      </c>
      <c r="B36" s="2" t="s">
        <v>84</v>
      </c>
      <c r="C36" s="2" t="s">
        <v>181</v>
      </c>
      <c r="D36" s="92" t="s">
        <v>187</v>
      </c>
      <c r="E36" s="87"/>
      <c r="F36" s="2" t="s">
        <v>130</v>
      </c>
      <c r="G36" s="35">
        <v>1</v>
      </c>
      <c r="H36" s="61">
        <v>0</v>
      </c>
      <c r="I36" s="35">
        <f>ROUND(G36*H36,2)</f>
        <v>0</v>
      </c>
      <c r="K36" s="51"/>
      <c r="Z36" s="35">
        <f>ROUND(IF(AQ36="5",BJ36,0),2)</f>
        <v>0</v>
      </c>
      <c r="AB36" s="35">
        <f>ROUND(IF(AQ36="1",BH36,0),2)</f>
        <v>0</v>
      </c>
      <c r="AC36" s="35">
        <f>ROUND(IF(AQ36="1",BI36,0),2)</f>
        <v>0</v>
      </c>
      <c r="AD36" s="35">
        <f>ROUND(IF(AQ36="7",BH36,0),2)</f>
        <v>0</v>
      </c>
      <c r="AE36" s="35">
        <f>ROUND(IF(AQ36="7",BI36,0),2)</f>
        <v>0</v>
      </c>
      <c r="AF36" s="35">
        <f>ROUND(IF(AQ36="2",BH36,0),2)</f>
        <v>0</v>
      </c>
      <c r="AG36" s="35">
        <f>ROUND(IF(AQ36="2",BI36,0),2)</f>
        <v>0</v>
      </c>
      <c r="AH36" s="35">
        <f>ROUND(IF(AQ36="0",BJ36,0),2)</f>
        <v>0</v>
      </c>
      <c r="AI36" s="46" t="s">
        <v>84</v>
      </c>
      <c r="AJ36" s="35">
        <f>IF(AN36=0,I36,0)</f>
        <v>0</v>
      </c>
      <c r="AK36" s="35">
        <f>IF(AN36=12,I36,0)</f>
        <v>0</v>
      </c>
      <c r="AL36" s="35">
        <f>IF(AN36=21,I36,0)</f>
        <v>0</v>
      </c>
      <c r="AN36" s="35">
        <v>21</v>
      </c>
      <c r="AO36" s="35">
        <f>H36*0</f>
        <v>0</v>
      </c>
      <c r="AP36" s="35">
        <f>H36*(1-0)</f>
        <v>0</v>
      </c>
      <c r="AQ36" s="62" t="s">
        <v>131</v>
      </c>
      <c r="AV36" s="35">
        <f>ROUND(AW36+AX36,2)</f>
        <v>0</v>
      </c>
      <c r="AW36" s="35">
        <f>ROUND(G36*AO36,2)</f>
        <v>0</v>
      </c>
      <c r="AX36" s="35">
        <f>ROUND(G36*AP36,2)</f>
        <v>0</v>
      </c>
      <c r="AY36" s="62" t="s">
        <v>183</v>
      </c>
      <c r="AZ36" s="62" t="s">
        <v>133</v>
      </c>
      <c r="BA36" s="46" t="s">
        <v>134</v>
      </c>
      <c r="BC36" s="35">
        <f>AW36+AX36</f>
        <v>0</v>
      </c>
      <c r="BD36" s="35">
        <f>H36/(100-BE36)*100</f>
        <v>0</v>
      </c>
      <c r="BE36" s="35">
        <v>0</v>
      </c>
      <c r="BF36" s="35">
        <f>36</f>
        <v>36</v>
      </c>
      <c r="BH36" s="35">
        <f>G36*AO36</f>
        <v>0</v>
      </c>
      <c r="BI36" s="35">
        <f>G36*AP36</f>
        <v>0</v>
      </c>
      <c r="BJ36" s="35">
        <f>G36*H36</f>
        <v>0</v>
      </c>
      <c r="BK36" s="62" t="s">
        <v>135</v>
      </c>
      <c r="BL36" s="35"/>
      <c r="BO36" s="35">
        <f>G36*H36</f>
        <v>0</v>
      </c>
      <c r="BW36" s="35">
        <v>21</v>
      </c>
      <c r="BX36" s="3" t="s">
        <v>187</v>
      </c>
    </row>
    <row r="37" spans="1:76">
      <c r="A37" s="63" t="s">
        <v>4</v>
      </c>
      <c r="B37" s="64" t="s">
        <v>86</v>
      </c>
      <c r="C37" s="64" t="s">
        <v>4</v>
      </c>
      <c r="D37" s="176" t="s">
        <v>87</v>
      </c>
      <c r="E37" s="177"/>
      <c r="F37" s="65" t="s">
        <v>79</v>
      </c>
      <c r="G37" s="65" t="s">
        <v>79</v>
      </c>
      <c r="H37" s="66" t="s">
        <v>79</v>
      </c>
      <c r="I37" s="67">
        <f>I38+I49+I66+I74+I79+I89+I106+I135+I147+I184+I204+I206</f>
        <v>0</v>
      </c>
      <c r="K37" s="51"/>
    </row>
    <row r="38" spans="1:76">
      <c r="A38" s="57" t="s">
        <v>4</v>
      </c>
      <c r="B38" s="58" t="s">
        <v>86</v>
      </c>
      <c r="C38" s="58" t="s">
        <v>162</v>
      </c>
      <c r="D38" s="174" t="s">
        <v>188</v>
      </c>
      <c r="E38" s="175"/>
      <c r="F38" s="59" t="s">
        <v>79</v>
      </c>
      <c r="G38" s="59" t="s">
        <v>79</v>
      </c>
      <c r="H38" s="60" t="s">
        <v>79</v>
      </c>
      <c r="I38" s="40">
        <f>SUM(I39:I47)</f>
        <v>0</v>
      </c>
      <c r="K38" s="51"/>
      <c r="AI38" s="46" t="s">
        <v>86</v>
      </c>
      <c r="AS38" s="40">
        <f>SUM(AJ39:AJ47)</f>
        <v>0</v>
      </c>
      <c r="AT38" s="40">
        <f>SUM(AK39:AK47)</f>
        <v>0</v>
      </c>
      <c r="AU38" s="40">
        <f>SUM(AL39:AL47)</f>
        <v>0</v>
      </c>
    </row>
    <row r="39" spans="1:76">
      <c r="A39" s="1" t="s">
        <v>189</v>
      </c>
      <c r="B39" s="2" t="s">
        <v>86</v>
      </c>
      <c r="C39" s="2" t="s">
        <v>190</v>
      </c>
      <c r="D39" s="92" t="s">
        <v>191</v>
      </c>
      <c r="E39" s="87"/>
      <c r="F39" s="2" t="s">
        <v>192</v>
      </c>
      <c r="G39" s="35">
        <v>129</v>
      </c>
      <c r="H39" s="61">
        <v>0</v>
      </c>
      <c r="I39" s="35">
        <f>ROUND(G39*H39,2)</f>
        <v>0</v>
      </c>
      <c r="K39" s="51"/>
      <c r="Z39" s="35">
        <f>ROUND(IF(AQ39="5",BJ39,0),2)</f>
        <v>0</v>
      </c>
      <c r="AB39" s="35">
        <f>ROUND(IF(AQ39="1",BH39,0),2)</f>
        <v>0</v>
      </c>
      <c r="AC39" s="35">
        <f>ROUND(IF(AQ39="1",BI39,0),2)</f>
        <v>0</v>
      </c>
      <c r="AD39" s="35">
        <f>ROUND(IF(AQ39="7",BH39,0),2)</f>
        <v>0</v>
      </c>
      <c r="AE39" s="35">
        <f>ROUND(IF(AQ39="7",BI39,0),2)</f>
        <v>0</v>
      </c>
      <c r="AF39" s="35">
        <f>ROUND(IF(AQ39="2",BH39,0),2)</f>
        <v>0</v>
      </c>
      <c r="AG39" s="35">
        <f>ROUND(IF(AQ39="2",BI39,0),2)</f>
        <v>0</v>
      </c>
      <c r="AH39" s="35">
        <f>ROUND(IF(AQ39="0",BJ39,0),2)</f>
        <v>0</v>
      </c>
      <c r="AI39" s="46" t="s">
        <v>86</v>
      </c>
      <c r="AJ39" s="35">
        <f>IF(AN39=0,I39,0)</f>
        <v>0</v>
      </c>
      <c r="AK39" s="35">
        <f>IF(AN39=12,I39,0)</f>
        <v>0</v>
      </c>
      <c r="AL39" s="35">
        <f>IF(AN39=21,I39,0)</f>
        <v>0</v>
      </c>
      <c r="AN39" s="35">
        <v>21</v>
      </c>
      <c r="AO39" s="35">
        <f>H39*0</f>
        <v>0</v>
      </c>
      <c r="AP39" s="35">
        <f>H39*(1-0)</f>
        <v>0</v>
      </c>
      <c r="AQ39" s="62" t="s">
        <v>127</v>
      </c>
      <c r="AV39" s="35">
        <f>ROUND(AW39+AX39,2)</f>
        <v>0</v>
      </c>
      <c r="AW39" s="35">
        <f>ROUND(G39*AO39,2)</f>
        <v>0</v>
      </c>
      <c r="AX39" s="35">
        <f>ROUND(G39*AP39,2)</f>
        <v>0</v>
      </c>
      <c r="AY39" s="62" t="s">
        <v>193</v>
      </c>
      <c r="AZ39" s="62" t="s">
        <v>194</v>
      </c>
      <c r="BA39" s="46" t="s">
        <v>195</v>
      </c>
      <c r="BC39" s="35">
        <f>AW39+AX39</f>
        <v>0</v>
      </c>
      <c r="BD39" s="35">
        <f>H39/(100-BE39)*100</f>
        <v>0</v>
      </c>
      <c r="BE39" s="35">
        <v>0</v>
      </c>
      <c r="BF39" s="35">
        <f>39</f>
        <v>39</v>
      </c>
      <c r="BH39" s="35">
        <f>G39*AO39</f>
        <v>0</v>
      </c>
      <c r="BI39" s="35">
        <f>G39*AP39</f>
        <v>0</v>
      </c>
      <c r="BJ39" s="35">
        <f>G39*H39</f>
        <v>0</v>
      </c>
      <c r="BK39" s="62" t="s">
        <v>135</v>
      </c>
      <c r="BL39" s="35">
        <v>11</v>
      </c>
      <c r="BW39" s="35">
        <v>21</v>
      </c>
      <c r="BX39" s="3" t="s">
        <v>191</v>
      </c>
    </row>
    <row r="40" spans="1:76">
      <c r="A40" s="1" t="s">
        <v>196</v>
      </c>
      <c r="B40" s="2" t="s">
        <v>86</v>
      </c>
      <c r="C40" s="2" t="s">
        <v>197</v>
      </c>
      <c r="D40" s="92" t="s">
        <v>198</v>
      </c>
      <c r="E40" s="87"/>
      <c r="F40" s="2" t="s">
        <v>192</v>
      </c>
      <c r="G40" s="35">
        <v>242</v>
      </c>
      <c r="H40" s="61">
        <v>0</v>
      </c>
      <c r="I40" s="35">
        <f>ROUND(G40*H40,2)</f>
        <v>0</v>
      </c>
      <c r="K40" s="51"/>
      <c r="Z40" s="35">
        <f>ROUND(IF(AQ40="5",BJ40,0),2)</f>
        <v>0</v>
      </c>
      <c r="AB40" s="35">
        <f>ROUND(IF(AQ40="1",BH40,0),2)</f>
        <v>0</v>
      </c>
      <c r="AC40" s="35">
        <f>ROUND(IF(AQ40="1",BI40,0),2)</f>
        <v>0</v>
      </c>
      <c r="AD40" s="35">
        <f>ROUND(IF(AQ40="7",BH40,0),2)</f>
        <v>0</v>
      </c>
      <c r="AE40" s="35">
        <f>ROUND(IF(AQ40="7",BI40,0),2)</f>
        <v>0</v>
      </c>
      <c r="AF40" s="35">
        <f>ROUND(IF(AQ40="2",BH40,0),2)</f>
        <v>0</v>
      </c>
      <c r="AG40" s="35">
        <f>ROUND(IF(AQ40="2",BI40,0),2)</f>
        <v>0</v>
      </c>
      <c r="AH40" s="35">
        <f>ROUND(IF(AQ40="0",BJ40,0),2)</f>
        <v>0</v>
      </c>
      <c r="AI40" s="46" t="s">
        <v>86</v>
      </c>
      <c r="AJ40" s="35">
        <f>IF(AN40=0,I40,0)</f>
        <v>0</v>
      </c>
      <c r="AK40" s="35">
        <f>IF(AN40=12,I40,0)</f>
        <v>0</v>
      </c>
      <c r="AL40" s="35">
        <f>IF(AN40=21,I40,0)</f>
        <v>0</v>
      </c>
      <c r="AN40" s="35">
        <v>21</v>
      </c>
      <c r="AO40" s="35">
        <f>H40*0</f>
        <v>0</v>
      </c>
      <c r="AP40" s="35">
        <f>H40*(1-0)</f>
        <v>0</v>
      </c>
      <c r="AQ40" s="62" t="s">
        <v>127</v>
      </c>
      <c r="AV40" s="35">
        <f>ROUND(AW40+AX40,2)</f>
        <v>0</v>
      </c>
      <c r="AW40" s="35">
        <f>ROUND(G40*AO40,2)</f>
        <v>0</v>
      </c>
      <c r="AX40" s="35">
        <f>ROUND(G40*AP40,2)</f>
        <v>0</v>
      </c>
      <c r="AY40" s="62" t="s">
        <v>193</v>
      </c>
      <c r="AZ40" s="62" t="s">
        <v>194</v>
      </c>
      <c r="BA40" s="46" t="s">
        <v>195</v>
      </c>
      <c r="BC40" s="35">
        <f>AW40+AX40</f>
        <v>0</v>
      </c>
      <c r="BD40" s="35">
        <f>H40/(100-BE40)*100</f>
        <v>0</v>
      </c>
      <c r="BE40" s="35">
        <v>0</v>
      </c>
      <c r="BF40" s="35">
        <f>40</f>
        <v>40</v>
      </c>
      <c r="BH40" s="35">
        <f>G40*AO40</f>
        <v>0</v>
      </c>
      <c r="BI40" s="35">
        <f>G40*AP40</f>
        <v>0</v>
      </c>
      <c r="BJ40" s="35">
        <f>G40*H40</f>
        <v>0</v>
      </c>
      <c r="BK40" s="62" t="s">
        <v>135</v>
      </c>
      <c r="BL40" s="35">
        <v>11</v>
      </c>
      <c r="BW40" s="35">
        <v>21</v>
      </c>
      <c r="BX40" s="3" t="s">
        <v>198</v>
      </c>
    </row>
    <row r="41" spans="1:76">
      <c r="A41" s="68"/>
      <c r="D41" s="69" t="s">
        <v>199</v>
      </c>
      <c r="E41" s="70" t="s">
        <v>200</v>
      </c>
      <c r="G41" s="71">
        <v>136</v>
      </c>
      <c r="K41" s="51"/>
    </row>
    <row r="42" spans="1:76">
      <c r="A42" s="68"/>
      <c r="D42" s="69" t="s">
        <v>201</v>
      </c>
      <c r="E42" s="70" t="s">
        <v>202</v>
      </c>
      <c r="G42" s="71">
        <v>106</v>
      </c>
      <c r="K42" s="51"/>
    </row>
    <row r="43" spans="1:76">
      <c r="A43" s="1" t="s">
        <v>203</v>
      </c>
      <c r="B43" s="2" t="s">
        <v>86</v>
      </c>
      <c r="C43" s="2" t="s">
        <v>204</v>
      </c>
      <c r="D43" s="92" t="s">
        <v>205</v>
      </c>
      <c r="E43" s="87"/>
      <c r="F43" s="2" t="s">
        <v>206</v>
      </c>
      <c r="G43" s="35">
        <v>72.899000000000001</v>
      </c>
      <c r="H43" s="61">
        <v>0</v>
      </c>
      <c r="I43" s="35">
        <f>ROUND(G43*H43,2)</f>
        <v>0</v>
      </c>
      <c r="K43" s="51"/>
      <c r="Z43" s="35">
        <f>ROUND(IF(AQ43="5",BJ43,0),2)</f>
        <v>0</v>
      </c>
      <c r="AB43" s="35">
        <f>ROUND(IF(AQ43="1",BH43,0),2)</f>
        <v>0</v>
      </c>
      <c r="AC43" s="35">
        <f>ROUND(IF(AQ43="1",BI43,0),2)</f>
        <v>0</v>
      </c>
      <c r="AD43" s="35">
        <f>ROUND(IF(AQ43="7",BH43,0),2)</f>
        <v>0</v>
      </c>
      <c r="AE43" s="35">
        <f>ROUND(IF(AQ43="7",BI43,0),2)</f>
        <v>0</v>
      </c>
      <c r="AF43" s="35">
        <f>ROUND(IF(AQ43="2",BH43,0),2)</f>
        <v>0</v>
      </c>
      <c r="AG43" s="35">
        <f>ROUND(IF(AQ43="2",BI43,0),2)</f>
        <v>0</v>
      </c>
      <c r="AH43" s="35">
        <f>ROUND(IF(AQ43="0",BJ43,0),2)</f>
        <v>0</v>
      </c>
      <c r="AI43" s="46" t="s">
        <v>86</v>
      </c>
      <c r="AJ43" s="35">
        <f>IF(AN43=0,I43,0)</f>
        <v>0</v>
      </c>
      <c r="AK43" s="35">
        <f>IF(AN43=12,I43,0)</f>
        <v>0</v>
      </c>
      <c r="AL43" s="35">
        <f>IF(AN43=21,I43,0)</f>
        <v>0</v>
      </c>
      <c r="AN43" s="35">
        <v>21</v>
      </c>
      <c r="AO43" s="35">
        <f>H43*0</f>
        <v>0</v>
      </c>
      <c r="AP43" s="35">
        <f>H43*(1-0)</f>
        <v>0</v>
      </c>
      <c r="AQ43" s="62" t="s">
        <v>145</v>
      </c>
      <c r="AV43" s="35">
        <f>ROUND(AW43+AX43,2)</f>
        <v>0</v>
      </c>
      <c r="AW43" s="35">
        <f>ROUND(G43*AO43,2)</f>
        <v>0</v>
      </c>
      <c r="AX43" s="35">
        <f>ROUND(G43*AP43,2)</f>
        <v>0</v>
      </c>
      <c r="AY43" s="62" t="s">
        <v>193</v>
      </c>
      <c r="AZ43" s="62" t="s">
        <v>194</v>
      </c>
      <c r="BA43" s="46" t="s">
        <v>195</v>
      </c>
      <c r="BC43" s="35">
        <f>AW43+AX43</f>
        <v>0</v>
      </c>
      <c r="BD43" s="35">
        <f>H43/(100-BE43)*100</f>
        <v>0</v>
      </c>
      <c r="BE43" s="35">
        <v>0</v>
      </c>
      <c r="BF43" s="35">
        <f>43</f>
        <v>43</v>
      </c>
      <c r="BH43" s="35">
        <f>G43*AO43</f>
        <v>0</v>
      </c>
      <c r="BI43" s="35">
        <f>G43*AP43</f>
        <v>0</v>
      </c>
      <c r="BJ43" s="35">
        <f>G43*H43</f>
        <v>0</v>
      </c>
      <c r="BK43" s="62" t="s">
        <v>135</v>
      </c>
      <c r="BL43" s="35">
        <v>11</v>
      </c>
      <c r="BW43" s="35">
        <v>21</v>
      </c>
      <c r="BX43" s="3" t="s">
        <v>205</v>
      </c>
    </row>
    <row r="44" spans="1:76">
      <c r="A44" s="1" t="s">
        <v>207</v>
      </c>
      <c r="B44" s="2" t="s">
        <v>86</v>
      </c>
      <c r="C44" s="2" t="s">
        <v>208</v>
      </c>
      <c r="D44" s="92" t="s">
        <v>209</v>
      </c>
      <c r="E44" s="87"/>
      <c r="F44" s="2" t="s">
        <v>206</v>
      </c>
      <c r="G44" s="35">
        <v>1020.586</v>
      </c>
      <c r="H44" s="61">
        <v>0</v>
      </c>
      <c r="I44" s="35">
        <f>ROUND(G44*H44,2)</f>
        <v>0</v>
      </c>
      <c r="K44" s="51"/>
      <c r="Z44" s="35">
        <f>ROUND(IF(AQ44="5",BJ44,0),2)</f>
        <v>0</v>
      </c>
      <c r="AB44" s="35">
        <f>ROUND(IF(AQ44="1",BH44,0),2)</f>
        <v>0</v>
      </c>
      <c r="AC44" s="35">
        <f>ROUND(IF(AQ44="1",BI44,0),2)</f>
        <v>0</v>
      </c>
      <c r="AD44" s="35">
        <f>ROUND(IF(AQ44="7",BH44,0),2)</f>
        <v>0</v>
      </c>
      <c r="AE44" s="35">
        <f>ROUND(IF(AQ44="7",BI44,0),2)</f>
        <v>0</v>
      </c>
      <c r="AF44" s="35">
        <f>ROUND(IF(AQ44="2",BH44,0),2)</f>
        <v>0</v>
      </c>
      <c r="AG44" s="35">
        <f>ROUND(IF(AQ44="2",BI44,0),2)</f>
        <v>0</v>
      </c>
      <c r="AH44" s="35">
        <f>ROUND(IF(AQ44="0",BJ44,0),2)</f>
        <v>0</v>
      </c>
      <c r="AI44" s="46" t="s">
        <v>86</v>
      </c>
      <c r="AJ44" s="35">
        <f>IF(AN44=0,I44,0)</f>
        <v>0</v>
      </c>
      <c r="AK44" s="35">
        <f>IF(AN44=12,I44,0)</f>
        <v>0</v>
      </c>
      <c r="AL44" s="35">
        <f>IF(AN44=21,I44,0)</f>
        <v>0</v>
      </c>
      <c r="AN44" s="35">
        <v>21</v>
      </c>
      <c r="AO44" s="35">
        <f>H44*0</f>
        <v>0</v>
      </c>
      <c r="AP44" s="35">
        <f>H44*(1-0)</f>
        <v>0</v>
      </c>
      <c r="AQ44" s="62" t="s">
        <v>145</v>
      </c>
      <c r="AV44" s="35">
        <f>ROUND(AW44+AX44,2)</f>
        <v>0</v>
      </c>
      <c r="AW44" s="35">
        <f>ROUND(G44*AO44,2)</f>
        <v>0</v>
      </c>
      <c r="AX44" s="35">
        <f>ROUND(G44*AP44,2)</f>
        <v>0</v>
      </c>
      <c r="AY44" s="62" t="s">
        <v>193</v>
      </c>
      <c r="AZ44" s="62" t="s">
        <v>194</v>
      </c>
      <c r="BA44" s="46" t="s">
        <v>195</v>
      </c>
      <c r="BC44" s="35">
        <f>AW44+AX44</f>
        <v>0</v>
      </c>
      <c r="BD44" s="35">
        <f>H44/(100-BE44)*100</f>
        <v>0</v>
      </c>
      <c r="BE44" s="35">
        <v>0</v>
      </c>
      <c r="BF44" s="35">
        <f>44</f>
        <v>44</v>
      </c>
      <c r="BH44" s="35">
        <f>G44*AO44</f>
        <v>0</v>
      </c>
      <c r="BI44" s="35">
        <f>G44*AP44</f>
        <v>0</v>
      </c>
      <c r="BJ44" s="35">
        <f>G44*H44</f>
        <v>0</v>
      </c>
      <c r="BK44" s="62" t="s">
        <v>135</v>
      </c>
      <c r="BL44" s="35">
        <v>11</v>
      </c>
      <c r="BW44" s="35">
        <v>21</v>
      </c>
      <c r="BX44" s="3" t="s">
        <v>209</v>
      </c>
    </row>
    <row r="45" spans="1:76">
      <c r="A45" s="68"/>
      <c r="D45" s="69" t="s">
        <v>210</v>
      </c>
      <c r="E45" s="70" t="s">
        <v>4</v>
      </c>
      <c r="G45" s="71">
        <v>1020.586</v>
      </c>
      <c r="K45" s="51"/>
    </row>
    <row r="46" spans="1:76">
      <c r="A46" s="1" t="s">
        <v>211</v>
      </c>
      <c r="B46" s="2" t="s">
        <v>86</v>
      </c>
      <c r="C46" s="2" t="s">
        <v>212</v>
      </c>
      <c r="D46" s="92" t="s">
        <v>213</v>
      </c>
      <c r="E46" s="87"/>
      <c r="F46" s="2" t="s">
        <v>206</v>
      </c>
      <c r="G46" s="35">
        <v>72.899000000000001</v>
      </c>
      <c r="H46" s="61">
        <v>0</v>
      </c>
      <c r="I46" s="35">
        <f>ROUND(G46*H46,2)</f>
        <v>0</v>
      </c>
      <c r="K46" s="51"/>
      <c r="Z46" s="35">
        <f>ROUND(IF(AQ46="5",BJ46,0),2)</f>
        <v>0</v>
      </c>
      <c r="AB46" s="35">
        <f>ROUND(IF(AQ46="1",BH46,0),2)</f>
        <v>0</v>
      </c>
      <c r="AC46" s="35">
        <f>ROUND(IF(AQ46="1",BI46,0),2)</f>
        <v>0</v>
      </c>
      <c r="AD46" s="35">
        <f>ROUND(IF(AQ46="7",BH46,0),2)</f>
        <v>0</v>
      </c>
      <c r="AE46" s="35">
        <f>ROUND(IF(AQ46="7",BI46,0),2)</f>
        <v>0</v>
      </c>
      <c r="AF46" s="35">
        <f>ROUND(IF(AQ46="2",BH46,0),2)</f>
        <v>0</v>
      </c>
      <c r="AG46" s="35">
        <f>ROUND(IF(AQ46="2",BI46,0),2)</f>
        <v>0</v>
      </c>
      <c r="AH46" s="35">
        <f>ROUND(IF(AQ46="0",BJ46,0),2)</f>
        <v>0</v>
      </c>
      <c r="AI46" s="46" t="s">
        <v>86</v>
      </c>
      <c r="AJ46" s="35">
        <f>IF(AN46=0,I46,0)</f>
        <v>0</v>
      </c>
      <c r="AK46" s="35">
        <f>IF(AN46=12,I46,0)</f>
        <v>0</v>
      </c>
      <c r="AL46" s="35">
        <f>IF(AN46=21,I46,0)</f>
        <v>0</v>
      </c>
      <c r="AN46" s="35">
        <v>21</v>
      </c>
      <c r="AO46" s="35">
        <f>H46*0</f>
        <v>0</v>
      </c>
      <c r="AP46" s="35">
        <f>H46*(1-0)</f>
        <v>0</v>
      </c>
      <c r="AQ46" s="62" t="s">
        <v>145</v>
      </c>
      <c r="AV46" s="35">
        <f>ROUND(AW46+AX46,2)</f>
        <v>0</v>
      </c>
      <c r="AW46" s="35">
        <f>ROUND(G46*AO46,2)</f>
        <v>0</v>
      </c>
      <c r="AX46" s="35">
        <f>ROUND(G46*AP46,2)</f>
        <v>0</v>
      </c>
      <c r="AY46" s="62" t="s">
        <v>193</v>
      </c>
      <c r="AZ46" s="62" t="s">
        <v>194</v>
      </c>
      <c r="BA46" s="46" t="s">
        <v>195</v>
      </c>
      <c r="BC46" s="35">
        <f>AW46+AX46</f>
        <v>0</v>
      </c>
      <c r="BD46" s="35">
        <f>H46/(100-BE46)*100</f>
        <v>0</v>
      </c>
      <c r="BE46" s="35">
        <v>0</v>
      </c>
      <c r="BF46" s="35">
        <f>46</f>
        <v>46</v>
      </c>
      <c r="BH46" s="35">
        <f>G46*AO46</f>
        <v>0</v>
      </c>
      <c r="BI46" s="35">
        <f>G46*AP46</f>
        <v>0</v>
      </c>
      <c r="BJ46" s="35">
        <f>G46*H46</f>
        <v>0</v>
      </c>
      <c r="BK46" s="62" t="s">
        <v>135</v>
      </c>
      <c r="BL46" s="35">
        <v>11</v>
      </c>
      <c r="BW46" s="35">
        <v>21</v>
      </c>
      <c r="BX46" s="3" t="s">
        <v>213</v>
      </c>
    </row>
    <row r="47" spans="1:76">
      <c r="A47" s="1" t="s">
        <v>214</v>
      </c>
      <c r="B47" s="2" t="s">
        <v>86</v>
      </c>
      <c r="C47" s="2" t="s">
        <v>215</v>
      </c>
      <c r="D47" s="92" t="s">
        <v>216</v>
      </c>
      <c r="E47" s="87"/>
      <c r="F47" s="2" t="s">
        <v>192</v>
      </c>
      <c r="G47" s="35">
        <v>154</v>
      </c>
      <c r="H47" s="61">
        <v>0</v>
      </c>
      <c r="I47" s="35">
        <f>ROUND(G47*H47,2)</f>
        <v>0</v>
      </c>
      <c r="K47" s="51"/>
      <c r="Z47" s="35">
        <f>ROUND(IF(AQ47="5",BJ47,0),2)</f>
        <v>0</v>
      </c>
      <c r="AB47" s="35">
        <f>ROUND(IF(AQ47="1",BH47,0),2)</f>
        <v>0</v>
      </c>
      <c r="AC47" s="35">
        <f>ROUND(IF(AQ47="1",BI47,0),2)</f>
        <v>0</v>
      </c>
      <c r="AD47" s="35">
        <f>ROUND(IF(AQ47="7",BH47,0),2)</f>
        <v>0</v>
      </c>
      <c r="AE47" s="35">
        <f>ROUND(IF(AQ47="7",BI47,0),2)</f>
        <v>0</v>
      </c>
      <c r="AF47" s="35">
        <f>ROUND(IF(AQ47="2",BH47,0),2)</f>
        <v>0</v>
      </c>
      <c r="AG47" s="35">
        <f>ROUND(IF(AQ47="2",BI47,0),2)</f>
        <v>0</v>
      </c>
      <c r="AH47" s="35">
        <f>ROUND(IF(AQ47="0",BJ47,0),2)</f>
        <v>0</v>
      </c>
      <c r="AI47" s="46" t="s">
        <v>86</v>
      </c>
      <c r="AJ47" s="35">
        <f>IF(AN47=0,I47,0)</f>
        <v>0</v>
      </c>
      <c r="AK47" s="35">
        <f>IF(AN47=12,I47,0)</f>
        <v>0</v>
      </c>
      <c r="AL47" s="35">
        <f>IF(AN47=21,I47,0)</f>
        <v>0</v>
      </c>
      <c r="AN47" s="35">
        <v>21</v>
      </c>
      <c r="AO47" s="35">
        <f>H47*0</f>
        <v>0</v>
      </c>
      <c r="AP47" s="35">
        <f>H47*(1-0)</f>
        <v>0</v>
      </c>
      <c r="AQ47" s="62" t="s">
        <v>127</v>
      </c>
      <c r="AV47" s="35">
        <f>ROUND(AW47+AX47,2)</f>
        <v>0</v>
      </c>
      <c r="AW47" s="35">
        <f>ROUND(G47*AO47,2)</f>
        <v>0</v>
      </c>
      <c r="AX47" s="35">
        <f>ROUND(G47*AP47,2)</f>
        <v>0</v>
      </c>
      <c r="AY47" s="62" t="s">
        <v>193</v>
      </c>
      <c r="AZ47" s="62" t="s">
        <v>194</v>
      </c>
      <c r="BA47" s="46" t="s">
        <v>195</v>
      </c>
      <c r="BC47" s="35">
        <f>AW47+AX47</f>
        <v>0</v>
      </c>
      <c r="BD47" s="35">
        <f>H47/(100-BE47)*100</f>
        <v>0</v>
      </c>
      <c r="BE47" s="35">
        <v>0</v>
      </c>
      <c r="BF47" s="35">
        <f>47</f>
        <v>47</v>
      </c>
      <c r="BH47" s="35">
        <f>G47*AO47</f>
        <v>0</v>
      </c>
      <c r="BI47" s="35">
        <f>G47*AP47</f>
        <v>0</v>
      </c>
      <c r="BJ47" s="35">
        <f>G47*H47</f>
        <v>0</v>
      </c>
      <c r="BK47" s="62" t="s">
        <v>135</v>
      </c>
      <c r="BL47" s="35">
        <v>11</v>
      </c>
      <c r="BW47" s="35">
        <v>21</v>
      </c>
      <c r="BX47" s="3" t="s">
        <v>216</v>
      </c>
    </row>
    <row r="48" spans="1:76">
      <c r="A48" s="68"/>
      <c r="D48" s="69" t="s">
        <v>217</v>
      </c>
      <c r="E48" s="70" t="s">
        <v>218</v>
      </c>
      <c r="G48" s="71">
        <v>154</v>
      </c>
      <c r="K48" s="51"/>
    </row>
    <row r="49" spans="1:76">
      <c r="A49" s="57" t="s">
        <v>4</v>
      </c>
      <c r="B49" s="58" t="s">
        <v>86</v>
      </c>
      <c r="C49" s="58" t="s">
        <v>164</v>
      </c>
      <c r="D49" s="174" t="s">
        <v>219</v>
      </c>
      <c r="E49" s="175"/>
      <c r="F49" s="59" t="s">
        <v>79</v>
      </c>
      <c r="G49" s="59" t="s">
        <v>79</v>
      </c>
      <c r="H49" s="60" t="s">
        <v>79</v>
      </c>
      <c r="I49" s="40">
        <f>SUM(I50:I63)</f>
        <v>0</v>
      </c>
      <c r="K49" s="51"/>
      <c r="AI49" s="46" t="s">
        <v>86</v>
      </c>
      <c r="AS49" s="40">
        <f>SUM(AJ50:AJ63)</f>
        <v>0</v>
      </c>
      <c r="AT49" s="40">
        <f>SUM(AK50:AK63)</f>
        <v>0</v>
      </c>
      <c r="AU49" s="40">
        <f>SUM(AL50:AL63)</f>
        <v>0</v>
      </c>
    </row>
    <row r="50" spans="1:76">
      <c r="A50" s="1" t="s">
        <v>220</v>
      </c>
      <c r="B50" s="2" t="s">
        <v>86</v>
      </c>
      <c r="C50" s="2" t="s">
        <v>221</v>
      </c>
      <c r="D50" s="92" t="s">
        <v>222</v>
      </c>
      <c r="E50" s="87"/>
      <c r="F50" s="2" t="s">
        <v>223</v>
      </c>
      <c r="G50" s="35">
        <v>31.8</v>
      </c>
      <c r="H50" s="61">
        <v>0</v>
      </c>
      <c r="I50" s="35">
        <f>ROUND(G50*H50,2)</f>
        <v>0</v>
      </c>
      <c r="K50" s="51"/>
      <c r="Z50" s="35">
        <f>ROUND(IF(AQ50="5",BJ50,0),2)</f>
        <v>0</v>
      </c>
      <c r="AB50" s="35">
        <f>ROUND(IF(AQ50="1",BH50,0),2)</f>
        <v>0</v>
      </c>
      <c r="AC50" s="35">
        <f>ROUND(IF(AQ50="1",BI50,0),2)</f>
        <v>0</v>
      </c>
      <c r="AD50" s="35">
        <f>ROUND(IF(AQ50="7",BH50,0),2)</f>
        <v>0</v>
      </c>
      <c r="AE50" s="35">
        <f>ROUND(IF(AQ50="7",BI50,0),2)</f>
        <v>0</v>
      </c>
      <c r="AF50" s="35">
        <f>ROUND(IF(AQ50="2",BH50,0),2)</f>
        <v>0</v>
      </c>
      <c r="AG50" s="35">
        <f>ROUND(IF(AQ50="2",BI50,0),2)</f>
        <v>0</v>
      </c>
      <c r="AH50" s="35">
        <f>ROUND(IF(AQ50="0",BJ50,0),2)</f>
        <v>0</v>
      </c>
      <c r="AI50" s="46" t="s">
        <v>86</v>
      </c>
      <c r="AJ50" s="35">
        <f>IF(AN50=0,I50,0)</f>
        <v>0</v>
      </c>
      <c r="AK50" s="35">
        <f>IF(AN50=12,I50,0)</f>
        <v>0</v>
      </c>
      <c r="AL50" s="35">
        <f>IF(AN50=21,I50,0)</f>
        <v>0</v>
      </c>
      <c r="AN50" s="35">
        <v>21</v>
      </c>
      <c r="AO50" s="35">
        <f>H50*0</f>
        <v>0</v>
      </c>
      <c r="AP50" s="35">
        <f>H50*(1-0)</f>
        <v>0</v>
      </c>
      <c r="AQ50" s="62" t="s">
        <v>127</v>
      </c>
      <c r="AV50" s="35">
        <f>ROUND(AW50+AX50,2)</f>
        <v>0</v>
      </c>
      <c r="AW50" s="35">
        <f>ROUND(G50*AO50,2)</f>
        <v>0</v>
      </c>
      <c r="AX50" s="35">
        <f>ROUND(G50*AP50,2)</f>
        <v>0</v>
      </c>
      <c r="AY50" s="62" t="s">
        <v>224</v>
      </c>
      <c r="AZ50" s="62" t="s">
        <v>194</v>
      </c>
      <c r="BA50" s="46" t="s">
        <v>195</v>
      </c>
      <c r="BC50" s="35">
        <f>AW50+AX50</f>
        <v>0</v>
      </c>
      <c r="BD50" s="35">
        <f>H50/(100-BE50)*100</f>
        <v>0</v>
      </c>
      <c r="BE50" s="35">
        <v>0</v>
      </c>
      <c r="BF50" s="35">
        <f>50</f>
        <v>50</v>
      </c>
      <c r="BH50" s="35">
        <f>G50*AO50</f>
        <v>0</v>
      </c>
      <c r="BI50" s="35">
        <f>G50*AP50</f>
        <v>0</v>
      </c>
      <c r="BJ50" s="35">
        <f>G50*H50</f>
        <v>0</v>
      </c>
      <c r="BK50" s="62" t="s">
        <v>135</v>
      </c>
      <c r="BL50" s="35">
        <v>12</v>
      </c>
      <c r="BW50" s="35">
        <v>21</v>
      </c>
      <c r="BX50" s="3" t="s">
        <v>222</v>
      </c>
    </row>
    <row r="51" spans="1:76">
      <c r="A51" s="68"/>
      <c r="D51" s="69" t="s">
        <v>225</v>
      </c>
      <c r="E51" s="70" t="s">
        <v>4</v>
      </c>
      <c r="G51" s="71">
        <v>31.8</v>
      </c>
      <c r="K51" s="51"/>
    </row>
    <row r="52" spans="1:76">
      <c r="A52" s="1" t="s">
        <v>226</v>
      </c>
      <c r="B52" s="2" t="s">
        <v>86</v>
      </c>
      <c r="C52" s="2" t="s">
        <v>227</v>
      </c>
      <c r="D52" s="92" t="s">
        <v>228</v>
      </c>
      <c r="E52" s="87"/>
      <c r="F52" s="2" t="s">
        <v>223</v>
      </c>
      <c r="G52" s="35">
        <v>72</v>
      </c>
      <c r="H52" s="61">
        <v>0</v>
      </c>
      <c r="I52" s="35">
        <f>ROUND(G52*H52,2)</f>
        <v>0</v>
      </c>
      <c r="K52" s="51"/>
      <c r="Z52" s="35">
        <f>ROUND(IF(AQ52="5",BJ52,0),2)</f>
        <v>0</v>
      </c>
      <c r="AB52" s="35">
        <f>ROUND(IF(AQ52="1",BH52,0),2)</f>
        <v>0</v>
      </c>
      <c r="AC52" s="35">
        <f>ROUND(IF(AQ52="1",BI52,0),2)</f>
        <v>0</v>
      </c>
      <c r="AD52" s="35">
        <f>ROUND(IF(AQ52="7",BH52,0),2)</f>
        <v>0</v>
      </c>
      <c r="AE52" s="35">
        <f>ROUND(IF(AQ52="7",BI52,0),2)</f>
        <v>0</v>
      </c>
      <c r="AF52" s="35">
        <f>ROUND(IF(AQ52="2",BH52,0),2)</f>
        <v>0</v>
      </c>
      <c r="AG52" s="35">
        <f>ROUND(IF(AQ52="2",BI52,0),2)</f>
        <v>0</v>
      </c>
      <c r="AH52" s="35">
        <f>ROUND(IF(AQ52="0",BJ52,0),2)</f>
        <v>0</v>
      </c>
      <c r="AI52" s="46" t="s">
        <v>86</v>
      </c>
      <c r="AJ52" s="35">
        <f>IF(AN52=0,I52,0)</f>
        <v>0</v>
      </c>
      <c r="AK52" s="35">
        <f>IF(AN52=12,I52,0)</f>
        <v>0</v>
      </c>
      <c r="AL52" s="35">
        <f>IF(AN52=21,I52,0)</f>
        <v>0</v>
      </c>
      <c r="AN52" s="35">
        <v>21</v>
      </c>
      <c r="AO52" s="35">
        <f>H52*0</f>
        <v>0</v>
      </c>
      <c r="AP52" s="35">
        <f>H52*(1-0)</f>
        <v>0</v>
      </c>
      <c r="AQ52" s="62" t="s">
        <v>127</v>
      </c>
      <c r="AV52" s="35">
        <f>ROUND(AW52+AX52,2)</f>
        <v>0</v>
      </c>
      <c r="AW52" s="35">
        <f>ROUND(G52*AO52,2)</f>
        <v>0</v>
      </c>
      <c r="AX52" s="35">
        <f>ROUND(G52*AP52,2)</f>
        <v>0</v>
      </c>
      <c r="AY52" s="62" t="s">
        <v>224</v>
      </c>
      <c r="AZ52" s="62" t="s">
        <v>194</v>
      </c>
      <c r="BA52" s="46" t="s">
        <v>195</v>
      </c>
      <c r="BC52" s="35">
        <f>AW52+AX52</f>
        <v>0</v>
      </c>
      <c r="BD52" s="35">
        <f>H52/(100-BE52)*100</f>
        <v>0</v>
      </c>
      <c r="BE52" s="35">
        <v>0</v>
      </c>
      <c r="BF52" s="35">
        <f>52</f>
        <v>52</v>
      </c>
      <c r="BH52" s="35">
        <f>G52*AO52</f>
        <v>0</v>
      </c>
      <c r="BI52" s="35">
        <f>G52*AP52</f>
        <v>0</v>
      </c>
      <c r="BJ52" s="35">
        <f>G52*H52</f>
        <v>0</v>
      </c>
      <c r="BK52" s="62" t="s">
        <v>135</v>
      </c>
      <c r="BL52" s="35">
        <v>12</v>
      </c>
      <c r="BW52" s="35">
        <v>21</v>
      </c>
      <c r="BX52" s="3" t="s">
        <v>228</v>
      </c>
    </row>
    <row r="53" spans="1:76">
      <c r="A53" s="68"/>
      <c r="D53" s="69" t="s">
        <v>229</v>
      </c>
      <c r="E53" s="70" t="s">
        <v>230</v>
      </c>
      <c r="G53" s="71">
        <v>72</v>
      </c>
      <c r="K53" s="51"/>
    </row>
    <row r="54" spans="1:76">
      <c r="A54" s="1" t="s">
        <v>231</v>
      </c>
      <c r="B54" s="2" t="s">
        <v>86</v>
      </c>
      <c r="C54" s="2" t="s">
        <v>232</v>
      </c>
      <c r="D54" s="92" t="s">
        <v>233</v>
      </c>
      <c r="E54" s="87"/>
      <c r="F54" s="2" t="s">
        <v>223</v>
      </c>
      <c r="G54" s="35">
        <v>15.084</v>
      </c>
      <c r="H54" s="61">
        <v>0</v>
      </c>
      <c r="I54" s="35">
        <f>ROUND(G54*H54,2)</f>
        <v>0</v>
      </c>
      <c r="K54" s="51"/>
      <c r="Z54" s="35">
        <f>ROUND(IF(AQ54="5",BJ54,0),2)</f>
        <v>0</v>
      </c>
      <c r="AB54" s="35">
        <f>ROUND(IF(AQ54="1",BH54,0),2)</f>
        <v>0</v>
      </c>
      <c r="AC54" s="35">
        <f>ROUND(IF(AQ54="1",BI54,0),2)</f>
        <v>0</v>
      </c>
      <c r="AD54" s="35">
        <f>ROUND(IF(AQ54="7",BH54,0),2)</f>
        <v>0</v>
      </c>
      <c r="AE54" s="35">
        <f>ROUND(IF(AQ54="7",BI54,0),2)</f>
        <v>0</v>
      </c>
      <c r="AF54" s="35">
        <f>ROUND(IF(AQ54="2",BH54,0),2)</f>
        <v>0</v>
      </c>
      <c r="AG54" s="35">
        <f>ROUND(IF(AQ54="2",BI54,0),2)</f>
        <v>0</v>
      </c>
      <c r="AH54" s="35">
        <f>ROUND(IF(AQ54="0",BJ54,0),2)</f>
        <v>0</v>
      </c>
      <c r="AI54" s="46" t="s">
        <v>86</v>
      </c>
      <c r="AJ54" s="35">
        <f>IF(AN54=0,I54,0)</f>
        <v>0</v>
      </c>
      <c r="AK54" s="35">
        <f>IF(AN54=12,I54,0)</f>
        <v>0</v>
      </c>
      <c r="AL54" s="35">
        <f>IF(AN54=21,I54,0)</f>
        <v>0</v>
      </c>
      <c r="AN54" s="35">
        <v>21</v>
      </c>
      <c r="AO54" s="35">
        <f>H54*0</f>
        <v>0</v>
      </c>
      <c r="AP54" s="35">
        <f>H54*(1-0)</f>
        <v>0</v>
      </c>
      <c r="AQ54" s="62" t="s">
        <v>127</v>
      </c>
      <c r="AV54" s="35">
        <f>ROUND(AW54+AX54,2)</f>
        <v>0</v>
      </c>
      <c r="AW54" s="35">
        <f>ROUND(G54*AO54,2)</f>
        <v>0</v>
      </c>
      <c r="AX54" s="35">
        <f>ROUND(G54*AP54,2)</f>
        <v>0</v>
      </c>
      <c r="AY54" s="62" t="s">
        <v>224</v>
      </c>
      <c r="AZ54" s="62" t="s">
        <v>194</v>
      </c>
      <c r="BA54" s="46" t="s">
        <v>195</v>
      </c>
      <c r="BC54" s="35">
        <f>AW54+AX54</f>
        <v>0</v>
      </c>
      <c r="BD54" s="35">
        <f>H54/(100-BE54)*100</f>
        <v>0</v>
      </c>
      <c r="BE54" s="35">
        <v>0</v>
      </c>
      <c r="BF54" s="35">
        <f>54</f>
        <v>54</v>
      </c>
      <c r="BH54" s="35">
        <f>G54*AO54</f>
        <v>0</v>
      </c>
      <c r="BI54" s="35">
        <f>G54*AP54</f>
        <v>0</v>
      </c>
      <c r="BJ54" s="35">
        <f>G54*H54</f>
        <v>0</v>
      </c>
      <c r="BK54" s="62" t="s">
        <v>135</v>
      </c>
      <c r="BL54" s="35">
        <v>12</v>
      </c>
      <c r="BW54" s="35">
        <v>21</v>
      </c>
      <c r="BX54" s="3" t="s">
        <v>233</v>
      </c>
    </row>
    <row r="55" spans="1:76">
      <c r="A55" s="68"/>
      <c r="D55" s="69" t="s">
        <v>234</v>
      </c>
      <c r="E55" s="70" t="s">
        <v>235</v>
      </c>
      <c r="G55" s="71">
        <v>12.24</v>
      </c>
      <c r="K55" s="51"/>
    </row>
    <row r="56" spans="1:76">
      <c r="A56" s="68"/>
      <c r="D56" s="69" t="s">
        <v>236</v>
      </c>
      <c r="E56" s="70" t="s">
        <v>237</v>
      </c>
      <c r="G56" s="71">
        <v>0.94499999999999995</v>
      </c>
      <c r="K56" s="51"/>
    </row>
    <row r="57" spans="1:76">
      <c r="A57" s="68"/>
      <c r="D57" s="69" t="s">
        <v>238</v>
      </c>
      <c r="E57" s="70" t="s">
        <v>239</v>
      </c>
      <c r="G57" s="71">
        <v>1.512</v>
      </c>
      <c r="K57" s="51"/>
    </row>
    <row r="58" spans="1:76">
      <c r="A58" s="68"/>
      <c r="D58" s="69" t="s">
        <v>240</v>
      </c>
      <c r="E58" s="70" t="s">
        <v>239</v>
      </c>
      <c r="G58" s="71">
        <v>0.38700000000000001</v>
      </c>
      <c r="K58" s="51"/>
    </row>
    <row r="59" spans="1:76">
      <c r="A59" s="1" t="s">
        <v>241</v>
      </c>
      <c r="B59" s="2" t="s">
        <v>86</v>
      </c>
      <c r="C59" s="2" t="s">
        <v>242</v>
      </c>
      <c r="D59" s="92" t="s">
        <v>243</v>
      </c>
      <c r="E59" s="87"/>
      <c r="F59" s="2" t="s">
        <v>223</v>
      </c>
      <c r="G59" s="35">
        <v>90.584000000000003</v>
      </c>
      <c r="H59" s="61">
        <v>0</v>
      </c>
      <c r="I59" s="35">
        <f>ROUND(G59*H59,2)</f>
        <v>0</v>
      </c>
      <c r="K59" s="51"/>
      <c r="Z59" s="35">
        <f>ROUND(IF(AQ59="5",BJ59,0),2)</f>
        <v>0</v>
      </c>
      <c r="AB59" s="35">
        <f>ROUND(IF(AQ59="1",BH59,0),2)</f>
        <v>0</v>
      </c>
      <c r="AC59" s="35">
        <f>ROUND(IF(AQ59="1",BI59,0),2)</f>
        <v>0</v>
      </c>
      <c r="AD59" s="35">
        <f>ROUND(IF(AQ59="7",BH59,0),2)</f>
        <v>0</v>
      </c>
      <c r="AE59" s="35">
        <f>ROUND(IF(AQ59="7",BI59,0),2)</f>
        <v>0</v>
      </c>
      <c r="AF59" s="35">
        <f>ROUND(IF(AQ59="2",BH59,0),2)</f>
        <v>0</v>
      </c>
      <c r="AG59" s="35">
        <f>ROUND(IF(AQ59="2",BI59,0),2)</f>
        <v>0</v>
      </c>
      <c r="AH59" s="35">
        <f>ROUND(IF(AQ59="0",BJ59,0),2)</f>
        <v>0</v>
      </c>
      <c r="AI59" s="46" t="s">
        <v>86</v>
      </c>
      <c r="AJ59" s="35">
        <f>IF(AN59=0,I59,0)</f>
        <v>0</v>
      </c>
      <c r="AK59" s="35">
        <f>IF(AN59=12,I59,0)</f>
        <v>0</v>
      </c>
      <c r="AL59" s="35">
        <f>IF(AN59=21,I59,0)</f>
        <v>0</v>
      </c>
      <c r="AN59" s="35">
        <v>21</v>
      </c>
      <c r="AO59" s="35">
        <f>H59*0</f>
        <v>0</v>
      </c>
      <c r="AP59" s="35">
        <f>H59*(1-0)</f>
        <v>0</v>
      </c>
      <c r="AQ59" s="62" t="s">
        <v>127</v>
      </c>
      <c r="AV59" s="35">
        <f>ROUND(AW59+AX59,2)</f>
        <v>0</v>
      </c>
      <c r="AW59" s="35">
        <f>ROUND(G59*AO59,2)</f>
        <v>0</v>
      </c>
      <c r="AX59" s="35">
        <f>ROUND(G59*AP59,2)</f>
        <v>0</v>
      </c>
      <c r="AY59" s="62" t="s">
        <v>224</v>
      </c>
      <c r="AZ59" s="62" t="s">
        <v>194</v>
      </c>
      <c r="BA59" s="46" t="s">
        <v>195</v>
      </c>
      <c r="BC59" s="35">
        <f>AW59+AX59</f>
        <v>0</v>
      </c>
      <c r="BD59" s="35">
        <f>H59/(100-BE59)*100</f>
        <v>0</v>
      </c>
      <c r="BE59" s="35">
        <v>0</v>
      </c>
      <c r="BF59" s="35">
        <f>59</f>
        <v>59</v>
      </c>
      <c r="BH59" s="35">
        <f>G59*AO59</f>
        <v>0</v>
      </c>
      <c r="BI59" s="35">
        <f>G59*AP59</f>
        <v>0</v>
      </c>
      <c r="BJ59" s="35">
        <f>G59*H59</f>
        <v>0</v>
      </c>
      <c r="BK59" s="62" t="s">
        <v>135</v>
      </c>
      <c r="BL59" s="35">
        <v>12</v>
      </c>
      <c r="BW59" s="35">
        <v>21</v>
      </c>
      <c r="BX59" s="3" t="s">
        <v>243</v>
      </c>
    </row>
    <row r="60" spans="1:76">
      <c r="A60" s="68"/>
      <c r="D60" s="69" t="s">
        <v>244</v>
      </c>
      <c r="E60" s="70" t="s">
        <v>245</v>
      </c>
      <c r="G60" s="71">
        <v>50</v>
      </c>
      <c r="K60" s="51"/>
    </row>
    <row r="61" spans="1:76">
      <c r="A61" s="68"/>
      <c r="D61" s="69" t="s">
        <v>246</v>
      </c>
      <c r="E61" s="70" t="s">
        <v>247</v>
      </c>
      <c r="G61" s="71">
        <v>15.084</v>
      </c>
      <c r="K61" s="51"/>
    </row>
    <row r="62" spans="1:76">
      <c r="A62" s="68"/>
      <c r="D62" s="69" t="s">
        <v>248</v>
      </c>
      <c r="E62" s="70" t="s">
        <v>249</v>
      </c>
      <c r="G62" s="71">
        <v>25.5</v>
      </c>
      <c r="K62" s="51"/>
    </row>
    <row r="63" spans="1:76">
      <c r="A63" s="1" t="s">
        <v>250</v>
      </c>
      <c r="B63" s="2" t="s">
        <v>86</v>
      </c>
      <c r="C63" s="2" t="s">
        <v>251</v>
      </c>
      <c r="D63" s="92" t="s">
        <v>252</v>
      </c>
      <c r="E63" s="87"/>
      <c r="F63" s="2" t="s">
        <v>223</v>
      </c>
      <c r="G63" s="35">
        <v>65.084000000000003</v>
      </c>
      <c r="H63" s="61">
        <v>0</v>
      </c>
      <c r="I63" s="35">
        <f>ROUND(G63*H63,2)</f>
        <v>0</v>
      </c>
      <c r="K63" s="51"/>
      <c r="Z63" s="35">
        <f>ROUND(IF(AQ63="5",BJ63,0),2)</f>
        <v>0</v>
      </c>
      <c r="AB63" s="35">
        <f>ROUND(IF(AQ63="1",BH63,0),2)</f>
        <v>0</v>
      </c>
      <c r="AC63" s="35">
        <f>ROUND(IF(AQ63="1",BI63,0),2)</f>
        <v>0</v>
      </c>
      <c r="AD63" s="35">
        <f>ROUND(IF(AQ63="7",BH63,0),2)</f>
        <v>0</v>
      </c>
      <c r="AE63" s="35">
        <f>ROUND(IF(AQ63="7",BI63,0),2)</f>
        <v>0</v>
      </c>
      <c r="AF63" s="35">
        <f>ROUND(IF(AQ63="2",BH63,0),2)</f>
        <v>0</v>
      </c>
      <c r="AG63" s="35">
        <f>ROUND(IF(AQ63="2",BI63,0),2)</f>
        <v>0</v>
      </c>
      <c r="AH63" s="35">
        <f>ROUND(IF(AQ63="0",BJ63,0),2)</f>
        <v>0</v>
      </c>
      <c r="AI63" s="46" t="s">
        <v>86</v>
      </c>
      <c r="AJ63" s="35">
        <f>IF(AN63=0,I63,0)</f>
        <v>0</v>
      </c>
      <c r="AK63" s="35">
        <f>IF(AN63=12,I63,0)</f>
        <v>0</v>
      </c>
      <c r="AL63" s="35">
        <f>IF(AN63=21,I63,0)</f>
        <v>0</v>
      </c>
      <c r="AN63" s="35">
        <v>21</v>
      </c>
      <c r="AO63" s="35">
        <f>H63*0</f>
        <v>0</v>
      </c>
      <c r="AP63" s="35">
        <f>H63*(1-0)</f>
        <v>0</v>
      </c>
      <c r="AQ63" s="62" t="s">
        <v>127</v>
      </c>
      <c r="AV63" s="35">
        <f>ROUND(AW63+AX63,2)</f>
        <v>0</v>
      </c>
      <c r="AW63" s="35">
        <f>ROUND(G63*AO63,2)</f>
        <v>0</v>
      </c>
      <c r="AX63" s="35">
        <f>ROUND(G63*AP63,2)</f>
        <v>0</v>
      </c>
      <c r="AY63" s="62" t="s">
        <v>224</v>
      </c>
      <c r="AZ63" s="62" t="s">
        <v>194</v>
      </c>
      <c r="BA63" s="46" t="s">
        <v>195</v>
      </c>
      <c r="BC63" s="35">
        <f>AW63+AX63</f>
        <v>0</v>
      </c>
      <c r="BD63" s="35">
        <f>H63/(100-BE63)*100</f>
        <v>0</v>
      </c>
      <c r="BE63" s="35">
        <v>0</v>
      </c>
      <c r="BF63" s="35">
        <f>63</f>
        <v>63</v>
      </c>
      <c r="BH63" s="35">
        <f>G63*AO63</f>
        <v>0</v>
      </c>
      <c r="BI63" s="35">
        <f>G63*AP63</f>
        <v>0</v>
      </c>
      <c r="BJ63" s="35">
        <f>G63*H63</f>
        <v>0</v>
      </c>
      <c r="BK63" s="62" t="s">
        <v>135</v>
      </c>
      <c r="BL63" s="35">
        <v>12</v>
      </c>
      <c r="BW63" s="35">
        <v>21</v>
      </c>
      <c r="BX63" s="3" t="s">
        <v>252</v>
      </c>
    </row>
    <row r="64" spans="1:76">
      <c r="A64" s="68"/>
      <c r="D64" s="69" t="s">
        <v>244</v>
      </c>
      <c r="E64" s="70" t="s">
        <v>245</v>
      </c>
      <c r="G64" s="71">
        <v>50</v>
      </c>
      <c r="K64" s="51"/>
    </row>
    <row r="65" spans="1:76">
      <c r="A65" s="68"/>
      <c r="D65" s="69" t="s">
        <v>246</v>
      </c>
      <c r="E65" s="70" t="s">
        <v>247</v>
      </c>
      <c r="G65" s="71">
        <v>15.084</v>
      </c>
      <c r="K65" s="51"/>
    </row>
    <row r="66" spans="1:76">
      <c r="A66" s="57" t="s">
        <v>4</v>
      </c>
      <c r="B66" s="58" t="s">
        <v>86</v>
      </c>
      <c r="C66" s="58" t="s">
        <v>177</v>
      </c>
      <c r="D66" s="174" t="s">
        <v>253</v>
      </c>
      <c r="E66" s="175"/>
      <c r="F66" s="59" t="s">
        <v>79</v>
      </c>
      <c r="G66" s="59" t="s">
        <v>79</v>
      </c>
      <c r="H66" s="60" t="s">
        <v>79</v>
      </c>
      <c r="I66" s="40">
        <f>SUM(I67:I73)</f>
        <v>0</v>
      </c>
      <c r="K66" s="51"/>
      <c r="AI66" s="46" t="s">
        <v>86</v>
      </c>
      <c r="AS66" s="40">
        <f>SUM(AJ67:AJ73)</f>
        <v>0</v>
      </c>
      <c r="AT66" s="40">
        <f>SUM(AK67:AK73)</f>
        <v>0</v>
      </c>
      <c r="AU66" s="40">
        <f>SUM(AL67:AL73)</f>
        <v>0</v>
      </c>
    </row>
    <row r="67" spans="1:76">
      <c r="A67" s="1" t="s">
        <v>254</v>
      </c>
      <c r="B67" s="2" t="s">
        <v>86</v>
      </c>
      <c r="C67" s="2" t="s">
        <v>255</v>
      </c>
      <c r="D67" s="92" t="s">
        <v>256</v>
      </c>
      <c r="E67" s="87"/>
      <c r="F67" s="2" t="s">
        <v>192</v>
      </c>
      <c r="G67" s="35">
        <v>521</v>
      </c>
      <c r="H67" s="61">
        <v>0</v>
      </c>
      <c r="I67" s="35">
        <f t="shared" ref="I67:I73" si="23">ROUND(G67*H67,2)</f>
        <v>0</v>
      </c>
      <c r="K67" s="51"/>
      <c r="Z67" s="35">
        <f t="shared" ref="Z67:Z73" si="24">ROUND(IF(AQ67="5",BJ67,0),2)</f>
        <v>0</v>
      </c>
      <c r="AB67" s="35">
        <f t="shared" ref="AB67:AB73" si="25">ROUND(IF(AQ67="1",BH67,0),2)</f>
        <v>0</v>
      </c>
      <c r="AC67" s="35">
        <f t="shared" ref="AC67:AC73" si="26">ROUND(IF(AQ67="1",BI67,0),2)</f>
        <v>0</v>
      </c>
      <c r="AD67" s="35">
        <f t="shared" ref="AD67:AD73" si="27">ROUND(IF(AQ67="7",BH67,0),2)</f>
        <v>0</v>
      </c>
      <c r="AE67" s="35">
        <f t="shared" ref="AE67:AE73" si="28">ROUND(IF(AQ67="7",BI67,0),2)</f>
        <v>0</v>
      </c>
      <c r="AF67" s="35">
        <f t="shared" ref="AF67:AF73" si="29">ROUND(IF(AQ67="2",BH67,0),2)</f>
        <v>0</v>
      </c>
      <c r="AG67" s="35">
        <f t="shared" ref="AG67:AG73" si="30">ROUND(IF(AQ67="2",BI67,0),2)</f>
        <v>0</v>
      </c>
      <c r="AH67" s="35">
        <f t="shared" ref="AH67:AH73" si="31">ROUND(IF(AQ67="0",BJ67,0),2)</f>
        <v>0</v>
      </c>
      <c r="AI67" s="46" t="s">
        <v>86</v>
      </c>
      <c r="AJ67" s="35">
        <f t="shared" ref="AJ67:AJ73" si="32">IF(AN67=0,I67,0)</f>
        <v>0</v>
      </c>
      <c r="AK67" s="35">
        <f t="shared" ref="AK67:AK73" si="33">IF(AN67=12,I67,0)</f>
        <v>0</v>
      </c>
      <c r="AL67" s="35">
        <f t="shared" ref="AL67:AL73" si="34">IF(AN67=21,I67,0)</f>
        <v>0</v>
      </c>
      <c r="AN67" s="35">
        <v>21</v>
      </c>
      <c r="AO67" s="35">
        <f>H67*0</f>
        <v>0</v>
      </c>
      <c r="AP67" s="35">
        <f>H67*(1-0)</f>
        <v>0</v>
      </c>
      <c r="AQ67" s="62" t="s">
        <v>127</v>
      </c>
      <c r="AV67" s="35">
        <f t="shared" ref="AV67:AV73" si="35">ROUND(AW67+AX67,2)</f>
        <v>0</v>
      </c>
      <c r="AW67" s="35">
        <f t="shared" ref="AW67:AW73" si="36">ROUND(G67*AO67,2)</f>
        <v>0</v>
      </c>
      <c r="AX67" s="35">
        <f t="shared" ref="AX67:AX73" si="37">ROUND(G67*AP67,2)</f>
        <v>0</v>
      </c>
      <c r="AY67" s="62" t="s">
        <v>257</v>
      </c>
      <c r="AZ67" s="62" t="s">
        <v>194</v>
      </c>
      <c r="BA67" s="46" t="s">
        <v>195</v>
      </c>
      <c r="BC67" s="35">
        <f t="shared" ref="BC67:BC73" si="38">AW67+AX67</f>
        <v>0</v>
      </c>
      <c r="BD67" s="35">
        <f t="shared" ref="BD67:BD73" si="39">H67/(100-BE67)*100</f>
        <v>0</v>
      </c>
      <c r="BE67" s="35">
        <v>0</v>
      </c>
      <c r="BF67" s="35">
        <f>67</f>
        <v>67</v>
      </c>
      <c r="BH67" s="35">
        <f t="shared" ref="BH67:BH73" si="40">G67*AO67</f>
        <v>0</v>
      </c>
      <c r="BI67" s="35">
        <f t="shared" ref="BI67:BI73" si="41">G67*AP67</f>
        <v>0</v>
      </c>
      <c r="BJ67" s="35">
        <f t="shared" ref="BJ67:BJ73" si="42">G67*H67</f>
        <v>0</v>
      </c>
      <c r="BK67" s="62" t="s">
        <v>135</v>
      </c>
      <c r="BL67" s="35">
        <v>18</v>
      </c>
      <c r="BW67" s="35">
        <v>21</v>
      </c>
      <c r="BX67" s="3" t="s">
        <v>256</v>
      </c>
    </row>
    <row r="68" spans="1:76">
      <c r="A68" s="1" t="s">
        <v>258</v>
      </c>
      <c r="B68" s="2" t="s">
        <v>86</v>
      </c>
      <c r="C68" s="2" t="s">
        <v>259</v>
      </c>
      <c r="D68" s="92" t="s">
        <v>260</v>
      </c>
      <c r="E68" s="87"/>
      <c r="F68" s="2" t="s">
        <v>192</v>
      </c>
      <c r="G68" s="35">
        <v>124</v>
      </c>
      <c r="H68" s="61">
        <v>0</v>
      </c>
      <c r="I68" s="35">
        <f t="shared" si="23"/>
        <v>0</v>
      </c>
      <c r="K68" s="51"/>
      <c r="Z68" s="35">
        <f t="shared" si="24"/>
        <v>0</v>
      </c>
      <c r="AB68" s="35">
        <f t="shared" si="25"/>
        <v>0</v>
      </c>
      <c r="AC68" s="35">
        <f t="shared" si="26"/>
        <v>0</v>
      </c>
      <c r="AD68" s="35">
        <f t="shared" si="27"/>
        <v>0</v>
      </c>
      <c r="AE68" s="35">
        <f t="shared" si="28"/>
        <v>0</v>
      </c>
      <c r="AF68" s="35">
        <f t="shared" si="29"/>
        <v>0</v>
      </c>
      <c r="AG68" s="35">
        <f t="shared" si="30"/>
        <v>0</v>
      </c>
      <c r="AH68" s="35">
        <f t="shared" si="31"/>
        <v>0</v>
      </c>
      <c r="AI68" s="46" t="s">
        <v>86</v>
      </c>
      <c r="AJ68" s="35">
        <f t="shared" si="32"/>
        <v>0</v>
      </c>
      <c r="AK68" s="35">
        <f t="shared" si="33"/>
        <v>0</v>
      </c>
      <c r="AL68" s="35">
        <f t="shared" si="34"/>
        <v>0</v>
      </c>
      <c r="AN68" s="35">
        <v>21</v>
      </c>
      <c r="AO68" s="35">
        <f>H68*0</f>
        <v>0</v>
      </c>
      <c r="AP68" s="35">
        <f>H68*(1-0)</f>
        <v>0</v>
      </c>
      <c r="AQ68" s="62" t="s">
        <v>127</v>
      </c>
      <c r="AV68" s="35">
        <f t="shared" si="35"/>
        <v>0</v>
      </c>
      <c r="AW68" s="35">
        <f t="shared" si="36"/>
        <v>0</v>
      </c>
      <c r="AX68" s="35">
        <f t="shared" si="37"/>
        <v>0</v>
      </c>
      <c r="AY68" s="62" t="s">
        <v>257</v>
      </c>
      <c r="AZ68" s="62" t="s">
        <v>194</v>
      </c>
      <c r="BA68" s="46" t="s">
        <v>195</v>
      </c>
      <c r="BC68" s="35">
        <f t="shared" si="38"/>
        <v>0</v>
      </c>
      <c r="BD68" s="35">
        <f t="shared" si="39"/>
        <v>0</v>
      </c>
      <c r="BE68" s="35">
        <v>0</v>
      </c>
      <c r="BF68" s="35">
        <f>68</f>
        <v>68</v>
      </c>
      <c r="BH68" s="35">
        <f t="shared" si="40"/>
        <v>0</v>
      </c>
      <c r="BI68" s="35">
        <f t="shared" si="41"/>
        <v>0</v>
      </c>
      <c r="BJ68" s="35">
        <f t="shared" si="42"/>
        <v>0</v>
      </c>
      <c r="BK68" s="62" t="s">
        <v>135</v>
      </c>
      <c r="BL68" s="35">
        <v>18</v>
      </c>
      <c r="BW68" s="35">
        <v>21</v>
      </c>
      <c r="BX68" s="3" t="s">
        <v>260</v>
      </c>
    </row>
    <row r="69" spans="1:76">
      <c r="A69" s="1" t="s">
        <v>261</v>
      </c>
      <c r="B69" s="2" t="s">
        <v>86</v>
      </c>
      <c r="C69" s="2" t="s">
        <v>262</v>
      </c>
      <c r="D69" s="92" t="s">
        <v>263</v>
      </c>
      <c r="E69" s="87"/>
      <c r="F69" s="2" t="s">
        <v>192</v>
      </c>
      <c r="G69" s="35">
        <v>20</v>
      </c>
      <c r="H69" s="61">
        <v>0</v>
      </c>
      <c r="I69" s="35">
        <f t="shared" si="23"/>
        <v>0</v>
      </c>
      <c r="K69" s="51"/>
      <c r="Z69" s="35">
        <f t="shared" si="24"/>
        <v>0</v>
      </c>
      <c r="AB69" s="35">
        <f t="shared" si="25"/>
        <v>0</v>
      </c>
      <c r="AC69" s="35">
        <f t="shared" si="26"/>
        <v>0</v>
      </c>
      <c r="AD69" s="35">
        <f t="shared" si="27"/>
        <v>0</v>
      </c>
      <c r="AE69" s="35">
        <f t="shared" si="28"/>
        <v>0</v>
      </c>
      <c r="AF69" s="35">
        <f t="shared" si="29"/>
        <v>0</v>
      </c>
      <c r="AG69" s="35">
        <f t="shared" si="30"/>
        <v>0</v>
      </c>
      <c r="AH69" s="35">
        <f t="shared" si="31"/>
        <v>0</v>
      </c>
      <c r="AI69" s="46" t="s">
        <v>86</v>
      </c>
      <c r="AJ69" s="35">
        <f t="shared" si="32"/>
        <v>0</v>
      </c>
      <c r="AK69" s="35">
        <f t="shared" si="33"/>
        <v>0</v>
      </c>
      <c r="AL69" s="35">
        <f t="shared" si="34"/>
        <v>0</v>
      </c>
      <c r="AN69" s="35">
        <v>21</v>
      </c>
      <c r="AO69" s="35">
        <f>H69*0</f>
        <v>0</v>
      </c>
      <c r="AP69" s="35">
        <f>H69*(1-0)</f>
        <v>0</v>
      </c>
      <c r="AQ69" s="62" t="s">
        <v>127</v>
      </c>
      <c r="AV69" s="35">
        <f t="shared" si="35"/>
        <v>0</v>
      </c>
      <c r="AW69" s="35">
        <f t="shared" si="36"/>
        <v>0</v>
      </c>
      <c r="AX69" s="35">
        <f t="shared" si="37"/>
        <v>0</v>
      </c>
      <c r="AY69" s="62" t="s">
        <v>257</v>
      </c>
      <c r="AZ69" s="62" t="s">
        <v>194</v>
      </c>
      <c r="BA69" s="46" t="s">
        <v>195</v>
      </c>
      <c r="BC69" s="35">
        <f t="shared" si="38"/>
        <v>0</v>
      </c>
      <c r="BD69" s="35">
        <f t="shared" si="39"/>
        <v>0</v>
      </c>
      <c r="BE69" s="35">
        <v>0</v>
      </c>
      <c r="BF69" s="35">
        <f>69</f>
        <v>69</v>
      </c>
      <c r="BH69" s="35">
        <f t="shared" si="40"/>
        <v>0</v>
      </c>
      <c r="BI69" s="35">
        <f t="shared" si="41"/>
        <v>0</v>
      </c>
      <c r="BJ69" s="35">
        <f t="shared" si="42"/>
        <v>0</v>
      </c>
      <c r="BK69" s="62" t="s">
        <v>135</v>
      </c>
      <c r="BL69" s="35">
        <v>18</v>
      </c>
      <c r="BW69" s="35">
        <v>21</v>
      </c>
      <c r="BX69" s="3" t="s">
        <v>263</v>
      </c>
    </row>
    <row r="70" spans="1:76">
      <c r="A70" s="1" t="s">
        <v>264</v>
      </c>
      <c r="B70" s="2" t="s">
        <v>86</v>
      </c>
      <c r="C70" s="2" t="s">
        <v>265</v>
      </c>
      <c r="D70" s="92" t="s">
        <v>266</v>
      </c>
      <c r="E70" s="87"/>
      <c r="F70" s="2" t="s">
        <v>192</v>
      </c>
      <c r="G70" s="35">
        <v>43</v>
      </c>
      <c r="H70" s="61">
        <v>0</v>
      </c>
      <c r="I70" s="35">
        <f t="shared" si="23"/>
        <v>0</v>
      </c>
      <c r="K70" s="51"/>
      <c r="Z70" s="35">
        <f t="shared" si="24"/>
        <v>0</v>
      </c>
      <c r="AB70" s="35">
        <f t="shared" si="25"/>
        <v>0</v>
      </c>
      <c r="AC70" s="35">
        <f t="shared" si="26"/>
        <v>0</v>
      </c>
      <c r="AD70" s="35">
        <f t="shared" si="27"/>
        <v>0</v>
      </c>
      <c r="AE70" s="35">
        <f t="shared" si="28"/>
        <v>0</v>
      </c>
      <c r="AF70" s="35">
        <f t="shared" si="29"/>
        <v>0</v>
      </c>
      <c r="AG70" s="35">
        <f t="shared" si="30"/>
        <v>0</v>
      </c>
      <c r="AH70" s="35">
        <f t="shared" si="31"/>
        <v>0</v>
      </c>
      <c r="AI70" s="46" t="s">
        <v>86</v>
      </c>
      <c r="AJ70" s="35">
        <f t="shared" si="32"/>
        <v>0</v>
      </c>
      <c r="AK70" s="35">
        <f t="shared" si="33"/>
        <v>0</v>
      </c>
      <c r="AL70" s="35">
        <f t="shared" si="34"/>
        <v>0</v>
      </c>
      <c r="AN70" s="35">
        <v>21</v>
      </c>
      <c r="AO70" s="35">
        <f>H70*0</f>
        <v>0</v>
      </c>
      <c r="AP70" s="35">
        <f>H70*(1-0)</f>
        <v>0</v>
      </c>
      <c r="AQ70" s="62" t="s">
        <v>127</v>
      </c>
      <c r="AV70" s="35">
        <f t="shared" si="35"/>
        <v>0</v>
      </c>
      <c r="AW70" s="35">
        <f t="shared" si="36"/>
        <v>0</v>
      </c>
      <c r="AX70" s="35">
        <f t="shared" si="37"/>
        <v>0</v>
      </c>
      <c r="AY70" s="62" t="s">
        <v>257</v>
      </c>
      <c r="AZ70" s="62" t="s">
        <v>194</v>
      </c>
      <c r="BA70" s="46" t="s">
        <v>195</v>
      </c>
      <c r="BC70" s="35">
        <f t="shared" si="38"/>
        <v>0</v>
      </c>
      <c r="BD70" s="35">
        <f t="shared" si="39"/>
        <v>0</v>
      </c>
      <c r="BE70" s="35">
        <v>0</v>
      </c>
      <c r="BF70" s="35">
        <f>70</f>
        <v>70</v>
      </c>
      <c r="BH70" s="35">
        <f t="shared" si="40"/>
        <v>0</v>
      </c>
      <c r="BI70" s="35">
        <f t="shared" si="41"/>
        <v>0</v>
      </c>
      <c r="BJ70" s="35">
        <f t="shared" si="42"/>
        <v>0</v>
      </c>
      <c r="BK70" s="62" t="s">
        <v>135</v>
      </c>
      <c r="BL70" s="35">
        <v>18</v>
      </c>
      <c r="BW70" s="35">
        <v>21</v>
      </c>
      <c r="BX70" s="3" t="s">
        <v>266</v>
      </c>
    </row>
    <row r="71" spans="1:76">
      <c r="A71" s="1" t="s">
        <v>267</v>
      </c>
      <c r="B71" s="2" t="s">
        <v>86</v>
      </c>
      <c r="C71" s="2" t="s">
        <v>268</v>
      </c>
      <c r="D71" s="92" t="s">
        <v>269</v>
      </c>
      <c r="E71" s="87"/>
      <c r="F71" s="2" t="s">
        <v>192</v>
      </c>
      <c r="G71" s="35">
        <v>20</v>
      </c>
      <c r="H71" s="61">
        <v>0</v>
      </c>
      <c r="I71" s="35">
        <f t="shared" si="23"/>
        <v>0</v>
      </c>
      <c r="K71" s="51"/>
      <c r="Z71" s="35">
        <f t="shared" si="24"/>
        <v>0</v>
      </c>
      <c r="AB71" s="35">
        <f t="shared" si="25"/>
        <v>0</v>
      </c>
      <c r="AC71" s="35">
        <f t="shared" si="26"/>
        <v>0</v>
      </c>
      <c r="AD71" s="35">
        <f t="shared" si="27"/>
        <v>0</v>
      </c>
      <c r="AE71" s="35">
        <f t="shared" si="28"/>
        <v>0</v>
      </c>
      <c r="AF71" s="35">
        <f t="shared" si="29"/>
        <v>0</v>
      </c>
      <c r="AG71" s="35">
        <f t="shared" si="30"/>
        <v>0</v>
      </c>
      <c r="AH71" s="35">
        <f t="shared" si="31"/>
        <v>0</v>
      </c>
      <c r="AI71" s="46" t="s">
        <v>86</v>
      </c>
      <c r="AJ71" s="35">
        <f t="shared" si="32"/>
        <v>0</v>
      </c>
      <c r="AK71" s="35">
        <f t="shared" si="33"/>
        <v>0</v>
      </c>
      <c r="AL71" s="35">
        <f t="shared" si="34"/>
        <v>0</v>
      </c>
      <c r="AN71" s="35">
        <v>21</v>
      </c>
      <c r="AO71" s="35">
        <f>H71*0.072542373</f>
        <v>0</v>
      </c>
      <c r="AP71" s="35">
        <f>H71*(1-0.072542373)</f>
        <v>0</v>
      </c>
      <c r="AQ71" s="62" t="s">
        <v>127</v>
      </c>
      <c r="AV71" s="35">
        <f t="shared" si="35"/>
        <v>0</v>
      </c>
      <c r="AW71" s="35">
        <f t="shared" si="36"/>
        <v>0</v>
      </c>
      <c r="AX71" s="35">
        <f t="shared" si="37"/>
        <v>0</v>
      </c>
      <c r="AY71" s="62" t="s">
        <v>257</v>
      </c>
      <c r="AZ71" s="62" t="s">
        <v>194</v>
      </c>
      <c r="BA71" s="46" t="s">
        <v>195</v>
      </c>
      <c r="BC71" s="35">
        <f t="shared" si="38"/>
        <v>0</v>
      </c>
      <c r="BD71" s="35">
        <f t="shared" si="39"/>
        <v>0</v>
      </c>
      <c r="BE71" s="35">
        <v>0</v>
      </c>
      <c r="BF71" s="35">
        <f>71</f>
        <v>71</v>
      </c>
      <c r="BH71" s="35">
        <f t="shared" si="40"/>
        <v>0</v>
      </c>
      <c r="BI71" s="35">
        <f t="shared" si="41"/>
        <v>0</v>
      </c>
      <c r="BJ71" s="35">
        <f t="shared" si="42"/>
        <v>0</v>
      </c>
      <c r="BK71" s="62" t="s">
        <v>135</v>
      </c>
      <c r="BL71" s="35">
        <v>18</v>
      </c>
      <c r="BW71" s="35">
        <v>21</v>
      </c>
      <c r="BX71" s="3" t="s">
        <v>269</v>
      </c>
    </row>
    <row r="72" spans="1:76">
      <c r="A72" s="1" t="s">
        <v>270</v>
      </c>
      <c r="B72" s="2" t="s">
        <v>86</v>
      </c>
      <c r="C72" s="2" t="s">
        <v>271</v>
      </c>
      <c r="D72" s="92" t="s">
        <v>272</v>
      </c>
      <c r="E72" s="87"/>
      <c r="F72" s="2" t="s">
        <v>192</v>
      </c>
      <c r="G72" s="35">
        <v>43</v>
      </c>
      <c r="H72" s="61">
        <v>0</v>
      </c>
      <c r="I72" s="35">
        <f t="shared" si="23"/>
        <v>0</v>
      </c>
      <c r="K72" s="51"/>
      <c r="Z72" s="35">
        <f t="shared" si="24"/>
        <v>0</v>
      </c>
      <c r="AB72" s="35">
        <f t="shared" si="25"/>
        <v>0</v>
      </c>
      <c r="AC72" s="35">
        <f t="shared" si="26"/>
        <v>0</v>
      </c>
      <c r="AD72" s="35">
        <f t="shared" si="27"/>
        <v>0</v>
      </c>
      <c r="AE72" s="35">
        <f t="shared" si="28"/>
        <v>0</v>
      </c>
      <c r="AF72" s="35">
        <f t="shared" si="29"/>
        <v>0</v>
      </c>
      <c r="AG72" s="35">
        <f t="shared" si="30"/>
        <v>0</v>
      </c>
      <c r="AH72" s="35">
        <f t="shared" si="31"/>
        <v>0</v>
      </c>
      <c r="AI72" s="46" t="s">
        <v>86</v>
      </c>
      <c r="AJ72" s="35">
        <f t="shared" si="32"/>
        <v>0</v>
      </c>
      <c r="AK72" s="35">
        <f t="shared" si="33"/>
        <v>0</v>
      </c>
      <c r="AL72" s="35">
        <f t="shared" si="34"/>
        <v>0</v>
      </c>
      <c r="AN72" s="35">
        <v>21</v>
      </c>
      <c r="AO72" s="35">
        <f>H72*0.03626504</f>
        <v>0</v>
      </c>
      <c r="AP72" s="35">
        <f>H72*(1-0.03626504)</f>
        <v>0</v>
      </c>
      <c r="AQ72" s="62" t="s">
        <v>127</v>
      </c>
      <c r="AV72" s="35">
        <f t="shared" si="35"/>
        <v>0</v>
      </c>
      <c r="AW72" s="35">
        <f t="shared" si="36"/>
        <v>0</v>
      </c>
      <c r="AX72" s="35">
        <f t="shared" si="37"/>
        <v>0</v>
      </c>
      <c r="AY72" s="62" t="s">
        <v>257</v>
      </c>
      <c r="AZ72" s="62" t="s">
        <v>194</v>
      </c>
      <c r="BA72" s="46" t="s">
        <v>195</v>
      </c>
      <c r="BC72" s="35">
        <f t="shared" si="38"/>
        <v>0</v>
      </c>
      <c r="BD72" s="35">
        <f t="shared" si="39"/>
        <v>0</v>
      </c>
      <c r="BE72" s="35">
        <v>0</v>
      </c>
      <c r="BF72" s="35">
        <f>72</f>
        <v>72</v>
      </c>
      <c r="BH72" s="35">
        <f t="shared" si="40"/>
        <v>0</v>
      </c>
      <c r="BI72" s="35">
        <f t="shared" si="41"/>
        <v>0</v>
      </c>
      <c r="BJ72" s="35">
        <f t="shared" si="42"/>
        <v>0</v>
      </c>
      <c r="BK72" s="62" t="s">
        <v>135</v>
      </c>
      <c r="BL72" s="35">
        <v>18</v>
      </c>
      <c r="BW72" s="35">
        <v>21</v>
      </c>
      <c r="BX72" s="3" t="s">
        <v>272</v>
      </c>
    </row>
    <row r="73" spans="1:76">
      <c r="A73" s="1" t="s">
        <v>273</v>
      </c>
      <c r="B73" s="2" t="s">
        <v>86</v>
      </c>
      <c r="C73" s="2" t="s">
        <v>274</v>
      </c>
      <c r="D73" s="92" t="s">
        <v>275</v>
      </c>
      <c r="E73" s="87"/>
      <c r="F73" s="2" t="s">
        <v>276</v>
      </c>
      <c r="G73" s="35">
        <v>2.5</v>
      </c>
      <c r="H73" s="61">
        <v>0</v>
      </c>
      <c r="I73" s="35">
        <f t="shared" si="23"/>
        <v>0</v>
      </c>
      <c r="K73" s="51"/>
      <c r="Z73" s="35">
        <f t="shared" si="24"/>
        <v>0</v>
      </c>
      <c r="AB73" s="35">
        <f t="shared" si="25"/>
        <v>0</v>
      </c>
      <c r="AC73" s="35">
        <f t="shared" si="26"/>
        <v>0</v>
      </c>
      <c r="AD73" s="35">
        <f t="shared" si="27"/>
        <v>0</v>
      </c>
      <c r="AE73" s="35">
        <f t="shared" si="28"/>
        <v>0</v>
      </c>
      <c r="AF73" s="35">
        <f t="shared" si="29"/>
        <v>0</v>
      </c>
      <c r="AG73" s="35">
        <f t="shared" si="30"/>
        <v>0</v>
      </c>
      <c r="AH73" s="35">
        <f t="shared" si="31"/>
        <v>0</v>
      </c>
      <c r="AI73" s="46" t="s">
        <v>86</v>
      </c>
      <c r="AJ73" s="35">
        <f t="shared" si="32"/>
        <v>0</v>
      </c>
      <c r="AK73" s="35">
        <f t="shared" si="33"/>
        <v>0</v>
      </c>
      <c r="AL73" s="35">
        <f t="shared" si="34"/>
        <v>0</v>
      </c>
      <c r="AN73" s="35">
        <v>21</v>
      </c>
      <c r="AO73" s="35">
        <f>H73*1</f>
        <v>0</v>
      </c>
      <c r="AP73" s="35">
        <f>H73*(1-1)</f>
        <v>0</v>
      </c>
      <c r="AQ73" s="62" t="s">
        <v>127</v>
      </c>
      <c r="AV73" s="35">
        <f t="shared" si="35"/>
        <v>0</v>
      </c>
      <c r="AW73" s="35">
        <f t="shared" si="36"/>
        <v>0</v>
      </c>
      <c r="AX73" s="35">
        <f t="shared" si="37"/>
        <v>0</v>
      </c>
      <c r="AY73" s="62" t="s">
        <v>257</v>
      </c>
      <c r="AZ73" s="62" t="s">
        <v>194</v>
      </c>
      <c r="BA73" s="46" t="s">
        <v>195</v>
      </c>
      <c r="BC73" s="35">
        <f t="shared" si="38"/>
        <v>0</v>
      </c>
      <c r="BD73" s="35">
        <f t="shared" si="39"/>
        <v>0</v>
      </c>
      <c r="BE73" s="35">
        <v>0</v>
      </c>
      <c r="BF73" s="35">
        <f>73</f>
        <v>73</v>
      </c>
      <c r="BH73" s="35">
        <f t="shared" si="40"/>
        <v>0</v>
      </c>
      <c r="BI73" s="35">
        <f t="shared" si="41"/>
        <v>0</v>
      </c>
      <c r="BJ73" s="35">
        <f t="shared" si="42"/>
        <v>0</v>
      </c>
      <c r="BK73" s="62" t="s">
        <v>277</v>
      </c>
      <c r="BL73" s="35">
        <v>18</v>
      </c>
      <c r="BW73" s="35">
        <v>21</v>
      </c>
      <c r="BX73" s="3" t="s">
        <v>275</v>
      </c>
    </row>
    <row r="74" spans="1:76">
      <c r="A74" s="57" t="s">
        <v>4</v>
      </c>
      <c r="B74" s="58" t="s">
        <v>86</v>
      </c>
      <c r="C74" s="58" t="s">
        <v>186</v>
      </c>
      <c r="D74" s="174" t="s">
        <v>278</v>
      </c>
      <c r="E74" s="175"/>
      <c r="F74" s="59" t="s">
        <v>79</v>
      </c>
      <c r="G74" s="59" t="s">
        <v>79</v>
      </c>
      <c r="H74" s="60" t="s">
        <v>79</v>
      </c>
      <c r="I74" s="40">
        <f>SUM(I75:I77)</f>
        <v>0</v>
      </c>
      <c r="K74" s="51"/>
      <c r="AI74" s="46" t="s">
        <v>86</v>
      </c>
      <c r="AS74" s="40">
        <f>SUM(AJ75:AJ77)</f>
        <v>0</v>
      </c>
      <c r="AT74" s="40">
        <f>SUM(AK75:AK77)</f>
        <v>0</v>
      </c>
      <c r="AU74" s="40">
        <f>SUM(AL75:AL77)</f>
        <v>0</v>
      </c>
    </row>
    <row r="75" spans="1:76">
      <c r="A75" s="1" t="s">
        <v>279</v>
      </c>
      <c r="B75" s="2" t="s">
        <v>86</v>
      </c>
      <c r="C75" s="2" t="s">
        <v>280</v>
      </c>
      <c r="D75" s="92" t="s">
        <v>281</v>
      </c>
      <c r="E75" s="87"/>
      <c r="F75" s="2" t="s">
        <v>282</v>
      </c>
      <c r="G75" s="35">
        <v>17</v>
      </c>
      <c r="H75" s="61">
        <v>0</v>
      </c>
      <c r="I75" s="35">
        <f>ROUND(G75*H75,2)</f>
        <v>0</v>
      </c>
      <c r="K75" s="51"/>
      <c r="Z75" s="35">
        <f>ROUND(IF(AQ75="5",BJ75,0),2)</f>
        <v>0</v>
      </c>
      <c r="AB75" s="35">
        <f>ROUND(IF(AQ75="1",BH75,0),2)</f>
        <v>0</v>
      </c>
      <c r="AC75" s="35">
        <f>ROUND(IF(AQ75="1",BI75,0),2)</f>
        <v>0</v>
      </c>
      <c r="AD75" s="35">
        <f>ROUND(IF(AQ75="7",BH75,0),2)</f>
        <v>0</v>
      </c>
      <c r="AE75" s="35">
        <f>ROUND(IF(AQ75="7",BI75,0),2)</f>
        <v>0</v>
      </c>
      <c r="AF75" s="35">
        <f>ROUND(IF(AQ75="2",BH75,0),2)</f>
        <v>0</v>
      </c>
      <c r="AG75" s="35">
        <f>ROUND(IF(AQ75="2",BI75,0),2)</f>
        <v>0</v>
      </c>
      <c r="AH75" s="35">
        <f>ROUND(IF(AQ75="0",BJ75,0),2)</f>
        <v>0</v>
      </c>
      <c r="AI75" s="46" t="s">
        <v>86</v>
      </c>
      <c r="AJ75" s="35">
        <f>IF(AN75=0,I75,0)</f>
        <v>0</v>
      </c>
      <c r="AK75" s="35">
        <f>IF(AN75=12,I75,0)</f>
        <v>0</v>
      </c>
      <c r="AL75" s="35">
        <f>IF(AN75=21,I75,0)</f>
        <v>0</v>
      </c>
      <c r="AN75" s="35">
        <v>21</v>
      </c>
      <c r="AO75" s="35">
        <f>H75*0</f>
        <v>0</v>
      </c>
      <c r="AP75" s="35">
        <f>H75*(1-0)</f>
        <v>0</v>
      </c>
      <c r="AQ75" s="62" t="s">
        <v>127</v>
      </c>
      <c r="AV75" s="35">
        <f>ROUND(AW75+AX75,2)</f>
        <v>0</v>
      </c>
      <c r="AW75" s="35">
        <f>ROUND(G75*AO75,2)</f>
        <v>0</v>
      </c>
      <c r="AX75" s="35">
        <f>ROUND(G75*AP75,2)</f>
        <v>0</v>
      </c>
      <c r="AY75" s="62" t="s">
        <v>283</v>
      </c>
      <c r="AZ75" s="62" t="s">
        <v>284</v>
      </c>
      <c r="BA75" s="46" t="s">
        <v>195</v>
      </c>
      <c r="BC75" s="35">
        <f>AW75+AX75</f>
        <v>0</v>
      </c>
      <c r="BD75" s="35">
        <f>H75/(100-BE75)*100</f>
        <v>0</v>
      </c>
      <c r="BE75" s="35">
        <v>0</v>
      </c>
      <c r="BF75" s="35">
        <f>75</f>
        <v>75</v>
      </c>
      <c r="BH75" s="35">
        <f>G75*AO75</f>
        <v>0</v>
      </c>
      <c r="BI75" s="35">
        <f>G75*AP75</f>
        <v>0</v>
      </c>
      <c r="BJ75" s="35">
        <f>G75*H75</f>
        <v>0</v>
      </c>
      <c r="BK75" s="62" t="s">
        <v>135</v>
      </c>
      <c r="BL75" s="35">
        <v>21</v>
      </c>
      <c r="BW75" s="35">
        <v>21</v>
      </c>
      <c r="BX75" s="3" t="s">
        <v>281</v>
      </c>
    </row>
    <row r="76" spans="1:76">
      <c r="A76" s="68"/>
      <c r="D76" s="69" t="s">
        <v>175</v>
      </c>
      <c r="E76" s="70" t="s">
        <v>285</v>
      </c>
      <c r="G76" s="71">
        <v>17</v>
      </c>
      <c r="K76" s="51"/>
    </row>
    <row r="77" spans="1:76">
      <c r="A77" s="1" t="s">
        <v>286</v>
      </c>
      <c r="B77" s="2" t="s">
        <v>86</v>
      </c>
      <c r="C77" s="2" t="s">
        <v>287</v>
      </c>
      <c r="D77" s="92" t="s">
        <v>288</v>
      </c>
      <c r="E77" s="87"/>
      <c r="F77" s="2" t="s">
        <v>282</v>
      </c>
      <c r="G77" s="35">
        <v>18.7</v>
      </c>
      <c r="H77" s="61">
        <v>0</v>
      </c>
      <c r="I77" s="35">
        <f>ROUND(G77*H77,2)</f>
        <v>0</v>
      </c>
      <c r="K77" s="51"/>
      <c r="Z77" s="35">
        <f>ROUND(IF(AQ77="5",BJ77,0),2)</f>
        <v>0</v>
      </c>
      <c r="AB77" s="35">
        <f>ROUND(IF(AQ77="1",BH77,0),2)</f>
        <v>0</v>
      </c>
      <c r="AC77" s="35">
        <f>ROUND(IF(AQ77="1",BI77,0),2)</f>
        <v>0</v>
      </c>
      <c r="AD77" s="35">
        <f>ROUND(IF(AQ77="7",BH77,0),2)</f>
        <v>0</v>
      </c>
      <c r="AE77" s="35">
        <f>ROUND(IF(AQ77="7",BI77,0),2)</f>
        <v>0</v>
      </c>
      <c r="AF77" s="35">
        <f>ROUND(IF(AQ77="2",BH77,0),2)</f>
        <v>0</v>
      </c>
      <c r="AG77" s="35">
        <f>ROUND(IF(AQ77="2",BI77,0),2)</f>
        <v>0</v>
      </c>
      <c r="AH77" s="35">
        <f>ROUND(IF(AQ77="0",BJ77,0),2)</f>
        <v>0</v>
      </c>
      <c r="AI77" s="46" t="s">
        <v>86</v>
      </c>
      <c r="AJ77" s="35">
        <f>IF(AN77=0,I77,0)</f>
        <v>0</v>
      </c>
      <c r="AK77" s="35">
        <f>IF(AN77=12,I77,0)</f>
        <v>0</v>
      </c>
      <c r="AL77" s="35">
        <f>IF(AN77=21,I77,0)</f>
        <v>0</v>
      </c>
      <c r="AN77" s="35">
        <v>21</v>
      </c>
      <c r="AO77" s="35">
        <f>H77*1</f>
        <v>0</v>
      </c>
      <c r="AP77" s="35">
        <f>H77*(1-1)</f>
        <v>0</v>
      </c>
      <c r="AQ77" s="62" t="s">
        <v>127</v>
      </c>
      <c r="AV77" s="35">
        <f>ROUND(AW77+AX77,2)</f>
        <v>0</v>
      </c>
      <c r="AW77" s="35">
        <f>ROUND(G77*AO77,2)</f>
        <v>0</v>
      </c>
      <c r="AX77" s="35">
        <f>ROUND(G77*AP77,2)</f>
        <v>0</v>
      </c>
      <c r="AY77" s="62" t="s">
        <v>283</v>
      </c>
      <c r="AZ77" s="62" t="s">
        <v>284</v>
      </c>
      <c r="BA77" s="46" t="s">
        <v>195</v>
      </c>
      <c r="BC77" s="35">
        <f>AW77+AX77</f>
        <v>0</v>
      </c>
      <c r="BD77" s="35">
        <f>H77/(100-BE77)*100</f>
        <v>0</v>
      </c>
      <c r="BE77" s="35">
        <v>0</v>
      </c>
      <c r="BF77" s="35">
        <f>77</f>
        <v>77</v>
      </c>
      <c r="BH77" s="35">
        <f>G77*AO77</f>
        <v>0</v>
      </c>
      <c r="BI77" s="35">
        <f>G77*AP77</f>
        <v>0</v>
      </c>
      <c r="BJ77" s="35">
        <f>G77*H77</f>
        <v>0</v>
      </c>
      <c r="BK77" s="62" t="s">
        <v>277</v>
      </c>
      <c r="BL77" s="35">
        <v>21</v>
      </c>
      <c r="BW77" s="35">
        <v>21</v>
      </c>
      <c r="BX77" s="3" t="s">
        <v>288</v>
      </c>
    </row>
    <row r="78" spans="1:76">
      <c r="A78" s="68"/>
      <c r="D78" s="69" t="s">
        <v>289</v>
      </c>
      <c r="E78" s="70" t="s">
        <v>4</v>
      </c>
      <c r="G78" s="71">
        <v>18.7</v>
      </c>
      <c r="K78" s="51"/>
    </row>
    <row r="79" spans="1:76">
      <c r="A79" s="57" t="s">
        <v>4</v>
      </c>
      <c r="B79" s="58" t="s">
        <v>86</v>
      </c>
      <c r="C79" s="58" t="s">
        <v>254</v>
      </c>
      <c r="D79" s="174" t="s">
        <v>290</v>
      </c>
      <c r="E79" s="175"/>
      <c r="F79" s="59" t="s">
        <v>79</v>
      </c>
      <c r="G79" s="59" t="s">
        <v>79</v>
      </c>
      <c r="H79" s="60" t="s">
        <v>79</v>
      </c>
      <c r="I79" s="40">
        <f>SUM(I80:I88)</f>
        <v>0</v>
      </c>
      <c r="K79" s="51"/>
      <c r="AI79" s="46" t="s">
        <v>86</v>
      </c>
      <c r="AS79" s="40">
        <f>SUM(AJ80:AJ88)</f>
        <v>0</v>
      </c>
      <c r="AT79" s="40">
        <f>SUM(AK80:AK88)</f>
        <v>0</v>
      </c>
      <c r="AU79" s="40">
        <f>SUM(AL80:AL88)</f>
        <v>0</v>
      </c>
    </row>
    <row r="80" spans="1:76">
      <c r="A80" s="1" t="s">
        <v>291</v>
      </c>
      <c r="B80" s="2" t="s">
        <v>86</v>
      </c>
      <c r="C80" s="2" t="s">
        <v>292</v>
      </c>
      <c r="D80" s="92" t="s">
        <v>293</v>
      </c>
      <c r="E80" s="87"/>
      <c r="F80" s="2" t="s">
        <v>223</v>
      </c>
      <c r="G80" s="35">
        <v>4.3999999999999997E-2</v>
      </c>
      <c r="H80" s="61">
        <v>0</v>
      </c>
      <c r="I80" s="35">
        <f>ROUND(G80*H80,2)</f>
        <v>0</v>
      </c>
      <c r="K80" s="51"/>
      <c r="Z80" s="35">
        <f>ROUND(IF(AQ80="5",BJ80,0),2)</f>
        <v>0</v>
      </c>
      <c r="AB80" s="35">
        <f>ROUND(IF(AQ80="1",BH80,0),2)</f>
        <v>0</v>
      </c>
      <c r="AC80" s="35">
        <f>ROUND(IF(AQ80="1",BI80,0),2)</f>
        <v>0</v>
      </c>
      <c r="AD80" s="35">
        <f>ROUND(IF(AQ80="7",BH80,0),2)</f>
        <v>0</v>
      </c>
      <c r="AE80" s="35">
        <f>ROUND(IF(AQ80="7",BI80,0),2)</f>
        <v>0</v>
      </c>
      <c r="AF80" s="35">
        <f>ROUND(IF(AQ80="2",BH80,0),2)</f>
        <v>0</v>
      </c>
      <c r="AG80" s="35">
        <f>ROUND(IF(AQ80="2",BI80,0),2)</f>
        <v>0</v>
      </c>
      <c r="AH80" s="35">
        <f>ROUND(IF(AQ80="0",BJ80,0),2)</f>
        <v>0</v>
      </c>
      <c r="AI80" s="46" t="s">
        <v>86</v>
      </c>
      <c r="AJ80" s="35">
        <f>IF(AN80=0,I80,0)</f>
        <v>0</v>
      </c>
      <c r="AK80" s="35">
        <f>IF(AN80=12,I80,0)</f>
        <v>0</v>
      </c>
      <c r="AL80" s="35">
        <f>IF(AN80=21,I80,0)</f>
        <v>0</v>
      </c>
      <c r="AN80" s="35">
        <v>21</v>
      </c>
      <c r="AO80" s="35">
        <f>H80*0.775060412</f>
        <v>0</v>
      </c>
      <c r="AP80" s="35">
        <f>H80*(1-0.775060412)</f>
        <v>0</v>
      </c>
      <c r="AQ80" s="62" t="s">
        <v>127</v>
      </c>
      <c r="AV80" s="35">
        <f>ROUND(AW80+AX80,2)</f>
        <v>0</v>
      </c>
      <c r="AW80" s="35">
        <f>ROUND(G80*AO80,2)</f>
        <v>0</v>
      </c>
      <c r="AX80" s="35">
        <f>ROUND(G80*AP80,2)</f>
        <v>0</v>
      </c>
      <c r="AY80" s="62" t="s">
        <v>294</v>
      </c>
      <c r="AZ80" s="62" t="s">
        <v>295</v>
      </c>
      <c r="BA80" s="46" t="s">
        <v>195</v>
      </c>
      <c r="BC80" s="35">
        <f>AW80+AX80</f>
        <v>0</v>
      </c>
      <c r="BD80" s="35">
        <f>H80/(100-BE80)*100</f>
        <v>0</v>
      </c>
      <c r="BE80" s="35">
        <v>0</v>
      </c>
      <c r="BF80" s="35">
        <f>80</f>
        <v>80</v>
      </c>
      <c r="BH80" s="35">
        <f>G80*AO80</f>
        <v>0</v>
      </c>
      <c r="BI80" s="35">
        <f>G80*AP80</f>
        <v>0</v>
      </c>
      <c r="BJ80" s="35">
        <f>G80*H80</f>
        <v>0</v>
      </c>
      <c r="BK80" s="62" t="s">
        <v>135</v>
      </c>
      <c r="BL80" s="35">
        <v>33</v>
      </c>
      <c r="BW80" s="35">
        <v>21</v>
      </c>
      <c r="BX80" s="3" t="s">
        <v>293</v>
      </c>
    </row>
    <row r="81" spans="1:76">
      <c r="A81" s="68"/>
      <c r="D81" s="69" t="s">
        <v>296</v>
      </c>
      <c r="E81" s="70" t="s">
        <v>297</v>
      </c>
      <c r="G81" s="71">
        <v>5.0000000000000001E-3</v>
      </c>
      <c r="K81" s="51"/>
    </row>
    <row r="82" spans="1:76">
      <c r="A82" s="68"/>
      <c r="D82" s="69" t="s">
        <v>298</v>
      </c>
      <c r="E82" s="70" t="s">
        <v>4</v>
      </c>
      <c r="G82" s="71">
        <v>3.5000000000000003E-2</v>
      </c>
      <c r="K82" s="51"/>
    </row>
    <row r="83" spans="1:76">
      <c r="A83" s="68"/>
      <c r="D83" s="69" t="s">
        <v>299</v>
      </c>
      <c r="E83" s="70" t="s">
        <v>4</v>
      </c>
      <c r="G83" s="71">
        <v>4.0000000000000001E-3</v>
      </c>
      <c r="K83" s="51"/>
    </row>
    <row r="84" spans="1:76">
      <c r="A84" s="1" t="s">
        <v>300</v>
      </c>
      <c r="B84" s="2" t="s">
        <v>86</v>
      </c>
      <c r="C84" s="2" t="s">
        <v>301</v>
      </c>
      <c r="D84" s="92" t="s">
        <v>302</v>
      </c>
      <c r="E84" s="87"/>
      <c r="F84" s="2" t="s">
        <v>192</v>
      </c>
      <c r="G84" s="35">
        <v>0.72599999999999998</v>
      </c>
      <c r="H84" s="61">
        <v>0</v>
      </c>
      <c r="I84" s="35">
        <f>ROUND(G84*H84,2)</f>
        <v>0</v>
      </c>
      <c r="K84" s="51"/>
      <c r="Z84" s="35">
        <f>ROUND(IF(AQ84="5",BJ84,0),2)</f>
        <v>0</v>
      </c>
      <c r="AB84" s="35">
        <f>ROUND(IF(AQ84="1",BH84,0),2)</f>
        <v>0</v>
      </c>
      <c r="AC84" s="35">
        <f>ROUND(IF(AQ84="1",BI84,0),2)</f>
        <v>0</v>
      </c>
      <c r="AD84" s="35">
        <f>ROUND(IF(AQ84="7",BH84,0),2)</f>
        <v>0</v>
      </c>
      <c r="AE84" s="35">
        <f>ROUND(IF(AQ84="7",BI84,0),2)</f>
        <v>0</v>
      </c>
      <c r="AF84" s="35">
        <f>ROUND(IF(AQ84="2",BH84,0),2)</f>
        <v>0</v>
      </c>
      <c r="AG84" s="35">
        <f>ROUND(IF(AQ84="2",BI84,0),2)</f>
        <v>0</v>
      </c>
      <c r="AH84" s="35">
        <f>ROUND(IF(AQ84="0",BJ84,0),2)</f>
        <v>0</v>
      </c>
      <c r="AI84" s="46" t="s">
        <v>86</v>
      </c>
      <c r="AJ84" s="35">
        <f>IF(AN84=0,I84,0)</f>
        <v>0</v>
      </c>
      <c r="AK84" s="35">
        <f>IF(AN84=12,I84,0)</f>
        <v>0</v>
      </c>
      <c r="AL84" s="35">
        <f>IF(AN84=21,I84,0)</f>
        <v>0</v>
      </c>
      <c r="AN84" s="35">
        <v>21</v>
      </c>
      <c r="AO84" s="35">
        <f>H84*0.525755879</f>
        <v>0</v>
      </c>
      <c r="AP84" s="35">
        <f>H84*(1-0.525755879)</f>
        <v>0</v>
      </c>
      <c r="AQ84" s="62" t="s">
        <v>127</v>
      </c>
      <c r="AV84" s="35">
        <f>ROUND(AW84+AX84,2)</f>
        <v>0</v>
      </c>
      <c r="AW84" s="35">
        <f>ROUND(G84*AO84,2)</f>
        <v>0</v>
      </c>
      <c r="AX84" s="35">
        <f>ROUND(G84*AP84,2)</f>
        <v>0</v>
      </c>
      <c r="AY84" s="62" t="s">
        <v>294</v>
      </c>
      <c r="AZ84" s="62" t="s">
        <v>295</v>
      </c>
      <c r="BA84" s="46" t="s">
        <v>195</v>
      </c>
      <c r="BC84" s="35">
        <f>AW84+AX84</f>
        <v>0</v>
      </c>
      <c r="BD84" s="35">
        <f>H84/(100-BE84)*100</f>
        <v>0</v>
      </c>
      <c r="BE84" s="35">
        <v>0</v>
      </c>
      <c r="BF84" s="35">
        <f>84</f>
        <v>84</v>
      </c>
      <c r="BH84" s="35">
        <f>G84*AO84</f>
        <v>0</v>
      </c>
      <c r="BI84" s="35">
        <f>G84*AP84</f>
        <v>0</v>
      </c>
      <c r="BJ84" s="35">
        <f>G84*H84</f>
        <v>0</v>
      </c>
      <c r="BK84" s="62" t="s">
        <v>135</v>
      </c>
      <c r="BL84" s="35">
        <v>33</v>
      </c>
      <c r="BW84" s="35">
        <v>21</v>
      </c>
      <c r="BX84" s="3" t="s">
        <v>302</v>
      </c>
    </row>
    <row r="85" spans="1:76">
      <c r="A85" s="68"/>
      <c r="D85" s="69" t="s">
        <v>303</v>
      </c>
      <c r="E85" s="70" t="s">
        <v>297</v>
      </c>
      <c r="G85" s="71">
        <v>0.08</v>
      </c>
      <c r="K85" s="51"/>
    </row>
    <row r="86" spans="1:76">
      <c r="A86" s="68"/>
      <c r="D86" s="69" t="s">
        <v>304</v>
      </c>
      <c r="E86" s="70" t="s">
        <v>4</v>
      </c>
      <c r="G86" s="71">
        <v>0.57599999999999996</v>
      </c>
      <c r="K86" s="51"/>
    </row>
    <row r="87" spans="1:76">
      <c r="A87" s="68"/>
      <c r="D87" s="69" t="s">
        <v>305</v>
      </c>
      <c r="E87" s="70" t="s">
        <v>4</v>
      </c>
      <c r="G87" s="71">
        <v>7.0000000000000007E-2</v>
      </c>
      <c r="K87" s="51"/>
    </row>
    <row r="88" spans="1:76">
      <c r="A88" s="1" t="s">
        <v>306</v>
      </c>
      <c r="B88" s="2" t="s">
        <v>86</v>
      </c>
      <c r="C88" s="2" t="s">
        <v>307</v>
      </c>
      <c r="D88" s="92" t="s">
        <v>308</v>
      </c>
      <c r="E88" s="87"/>
      <c r="F88" s="2" t="s">
        <v>192</v>
      </c>
      <c r="G88" s="35">
        <v>0.72599999999999998</v>
      </c>
      <c r="H88" s="61">
        <v>0</v>
      </c>
      <c r="I88" s="35">
        <f>ROUND(G88*H88,2)</f>
        <v>0</v>
      </c>
      <c r="K88" s="51"/>
      <c r="Z88" s="35">
        <f>ROUND(IF(AQ88="5",BJ88,0),2)</f>
        <v>0</v>
      </c>
      <c r="AB88" s="35">
        <f>ROUND(IF(AQ88="1",BH88,0),2)</f>
        <v>0</v>
      </c>
      <c r="AC88" s="35">
        <f>ROUND(IF(AQ88="1",BI88,0),2)</f>
        <v>0</v>
      </c>
      <c r="AD88" s="35">
        <f>ROUND(IF(AQ88="7",BH88,0),2)</f>
        <v>0</v>
      </c>
      <c r="AE88" s="35">
        <f>ROUND(IF(AQ88="7",BI88,0),2)</f>
        <v>0</v>
      </c>
      <c r="AF88" s="35">
        <f>ROUND(IF(AQ88="2",BH88,0),2)</f>
        <v>0</v>
      </c>
      <c r="AG88" s="35">
        <f>ROUND(IF(AQ88="2",BI88,0),2)</f>
        <v>0</v>
      </c>
      <c r="AH88" s="35">
        <f>ROUND(IF(AQ88="0",BJ88,0),2)</f>
        <v>0</v>
      </c>
      <c r="AI88" s="46" t="s">
        <v>86</v>
      </c>
      <c r="AJ88" s="35">
        <f>IF(AN88=0,I88,0)</f>
        <v>0</v>
      </c>
      <c r="AK88" s="35">
        <f>IF(AN88=12,I88,0)</f>
        <v>0</v>
      </c>
      <c r="AL88" s="35">
        <f>IF(AN88=21,I88,0)</f>
        <v>0</v>
      </c>
      <c r="AN88" s="35">
        <v>21</v>
      </c>
      <c r="AO88" s="35">
        <f>H88*0</f>
        <v>0</v>
      </c>
      <c r="AP88" s="35">
        <f>H88*(1-0)</f>
        <v>0</v>
      </c>
      <c r="AQ88" s="62" t="s">
        <v>127</v>
      </c>
      <c r="AV88" s="35">
        <f>ROUND(AW88+AX88,2)</f>
        <v>0</v>
      </c>
      <c r="AW88" s="35">
        <f>ROUND(G88*AO88,2)</f>
        <v>0</v>
      </c>
      <c r="AX88" s="35">
        <f>ROUND(G88*AP88,2)</f>
        <v>0</v>
      </c>
      <c r="AY88" s="62" t="s">
        <v>294</v>
      </c>
      <c r="AZ88" s="62" t="s">
        <v>295</v>
      </c>
      <c r="BA88" s="46" t="s">
        <v>195</v>
      </c>
      <c r="BC88" s="35">
        <f>AW88+AX88</f>
        <v>0</v>
      </c>
      <c r="BD88" s="35">
        <f>H88/(100-BE88)*100</f>
        <v>0</v>
      </c>
      <c r="BE88" s="35">
        <v>0</v>
      </c>
      <c r="BF88" s="35">
        <f>88</f>
        <v>88</v>
      </c>
      <c r="BH88" s="35">
        <f>G88*AO88</f>
        <v>0</v>
      </c>
      <c r="BI88" s="35">
        <f>G88*AP88</f>
        <v>0</v>
      </c>
      <c r="BJ88" s="35">
        <f>G88*H88</f>
        <v>0</v>
      </c>
      <c r="BK88" s="62" t="s">
        <v>135</v>
      </c>
      <c r="BL88" s="35">
        <v>33</v>
      </c>
      <c r="BW88" s="35">
        <v>21</v>
      </c>
      <c r="BX88" s="3" t="s">
        <v>308</v>
      </c>
    </row>
    <row r="89" spans="1:76">
      <c r="A89" s="57" t="s">
        <v>4</v>
      </c>
      <c r="B89" s="58" t="s">
        <v>86</v>
      </c>
      <c r="C89" s="58" t="s">
        <v>145</v>
      </c>
      <c r="D89" s="174" t="s">
        <v>309</v>
      </c>
      <c r="E89" s="175"/>
      <c r="F89" s="59" t="s">
        <v>79</v>
      </c>
      <c r="G89" s="59" t="s">
        <v>79</v>
      </c>
      <c r="H89" s="60" t="s">
        <v>79</v>
      </c>
      <c r="I89" s="40">
        <f>SUM(I90:I105)</f>
        <v>0</v>
      </c>
      <c r="K89" s="51"/>
      <c r="AI89" s="46" t="s">
        <v>86</v>
      </c>
      <c r="AS89" s="40">
        <f>SUM(AJ90:AJ105)</f>
        <v>0</v>
      </c>
      <c r="AT89" s="40">
        <f>SUM(AK90:AK105)</f>
        <v>0</v>
      </c>
      <c r="AU89" s="40">
        <f>SUM(AL90:AL105)</f>
        <v>0</v>
      </c>
    </row>
    <row r="90" spans="1:76">
      <c r="A90" s="1" t="s">
        <v>310</v>
      </c>
      <c r="B90" s="2" t="s">
        <v>86</v>
      </c>
      <c r="C90" s="2" t="s">
        <v>311</v>
      </c>
      <c r="D90" s="92" t="s">
        <v>312</v>
      </c>
      <c r="E90" s="87"/>
      <c r="F90" s="2" t="s">
        <v>282</v>
      </c>
      <c r="G90" s="35">
        <v>4.1399999999999997</v>
      </c>
      <c r="H90" s="61">
        <v>0</v>
      </c>
      <c r="I90" s="35">
        <f>ROUND(G90*H90,2)</f>
        <v>0</v>
      </c>
      <c r="K90" s="51"/>
      <c r="Z90" s="35">
        <f>ROUND(IF(AQ90="5",BJ90,0),2)</f>
        <v>0</v>
      </c>
      <c r="AB90" s="35">
        <f>ROUND(IF(AQ90="1",BH90,0),2)</f>
        <v>0</v>
      </c>
      <c r="AC90" s="35">
        <f>ROUND(IF(AQ90="1",BI90,0),2)</f>
        <v>0</v>
      </c>
      <c r="AD90" s="35">
        <f>ROUND(IF(AQ90="7",BH90,0),2)</f>
        <v>0</v>
      </c>
      <c r="AE90" s="35">
        <f>ROUND(IF(AQ90="7",BI90,0),2)</f>
        <v>0</v>
      </c>
      <c r="AF90" s="35">
        <f>ROUND(IF(AQ90="2",BH90,0),2)</f>
        <v>0</v>
      </c>
      <c r="AG90" s="35">
        <f>ROUND(IF(AQ90="2",BI90,0),2)</f>
        <v>0</v>
      </c>
      <c r="AH90" s="35">
        <f>ROUND(IF(AQ90="0",BJ90,0),2)</f>
        <v>0</v>
      </c>
      <c r="AI90" s="46" t="s">
        <v>86</v>
      </c>
      <c r="AJ90" s="35">
        <f>IF(AN90=0,I90,0)</f>
        <v>0</v>
      </c>
      <c r="AK90" s="35">
        <f>IF(AN90=12,I90,0)</f>
        <v>0</v>
      </c>
      <c r="AL90" s="35">
        <f>IF(AN90=21,I90,0)</f>
        <v>0</v>
      </c>
      <c r="AN90" s="35">
        <v>21</v>
      </c>
      <c r="AO90" s="35">
        <f>H90*0.191441973</f>
        <v>0</v>
      </c>
      <c r="AP90" s="35">
        <f>H90*(1-0.191441973)</f>
        <v>0</v>
      </c>
      <c r="AQ90" s="62" t="s">
        <v>127</v>
      </c>
      <c r="AV90" s="35">
        <f>ROUND(AW90+AX90,2)</f>
        <v>0</v>
      </c>
      <c r="AW90" s="35">
        <f>ROUND(G90*AO90,2)</f>
        <v>0</v>
      </c>
      <c r="AX90" s="35">
        <f>ROUND(G90*AP90,2)</f>
        <v>0</v>
      </c>
      <c r="AY90" s="62" t="s">
        <v>313</v>
      </c>
      <c r="AZ90" s="62" t="s">
        <v>314</v>
      </c>
      <c r="BA90" s="46" t="s">
        <v>195</v>
      </c>
      <c r="BC90" s="35">
        <f>AW90+AX90</f>
        <v>0</v>
      </c>
      <c r="BD90" s="35">
        <f>H90/(100-BE90)*100</f>
        <v>0</v>
      </c>
      <c r="BE90" s="35">
        <v>0</v>
      </c>
      <c r="BF90" s="35">
        <f>90</f>
        <v>90</v>
      </c>
      <c r="BH90" s="35">
        <f>G90*AO90</f>
        <v>0</v>
      </c>
      <c r="BI90" s="35">
        <f>G90*AP90</f>
        <v>0</v>
      </c>
      <c r="BJ90" s="35">
        <f>G90*H90</f>
        <v>0</v>
      </c>
      <c r="BK90" s="62" t="s">
        <v>135</v>
      </c>
      <c r="BL90" s="35">
        <v>5</v>
      </c>
      <c r="BW90" s="35">
        <v>21</v>
      </c>
      <c r="BX90" s="3" t="s">
        <v>312</v>
      </c>
    </row>
    <row r="91" spans="1:76">
      <c r="A91" s="1" t="s">
        <v>315</v>
      </c>
      <c r="B91" s="2" t="s">
        <v>86</v>
      </c>
      <c r="C91" s="2" t="s">
        <v>316</v>
      </c>
      <c r="D91" s="92" t="s">
        <v>317</v>
      </c>
      <c r="E91" s="87"/>
      <c r="F91" s="2" t="s">
        <v>282</v>
      </c>
      <c r="G91" s="35">
        <v>10.8</v>
      </c>
      <c r="H91" s="61">
        <v>0</v>
      </c>
      <c r="I91" s="35">
        <f>ROUND(G91*H91,2)</f>
        <v>0</v>
      </c>
      <c r="K91" s="51"/>
      <c r="Z91" s="35">
        <f>ROUND(IF(AQ91="5",BJ91,0),2)</f>
        <v>0</v>
      </c>
      <c r="AB91" s="35">
        <f>ROUND(IF(AQ91="1",BH91,0),2)</f>
        <v>0</v>
      </c>
      <c r="AC91" s="35">
        <f>ROUND(IF(AQ91="1",BI91,0),2)</f>
        <v>0</v>
      </c>
      <c r="AD91" s="35">
        <f>ROUND(IF(AQ91="7",BH91,0),2)</f>
        <v>0</v>
      </c>
      <c r="AE91" s="35">
        <f>ROUND(IF(AQ91="7",BI91,0),2)</f>
        <v>0</v>
      </c>
      <c r="AF91" s="35">
        <f>ROUND(IF(AQ91="2",BH91,0),2)</f>
        <v>0</v>
      </c>
      <c r="AG91" s="35">
        <f>ROUND(IF(AQ91="2",BI91,0),2)</f>
        <v>0</v>
      </c>
      <c r="AH91" s="35">
        <f>ROUND(IF(AQ91="0",BJ91,0),2)</f>
        <v>0</v>
      </c>
      <c r="AI91" s="46" t="s">
        <v>86</v>
      </c>
      <c r="AJ91" s="35">
        <f>IF(AN91=0,I91,0)</f>
        <v>0</v>
      </c>
      <c r="AK91" s="35">
        <f>IF(AN91=12,I91,0)</f>
        <v>0</v>
      </c>
      <c r="AL91" s="35">
        <f>IF(AN91=21,I91,0)</f>
        <v>0</v>
      </c>
      <c r="AN91" s="35">
        <v>21</v>
      </c>
      <c r="AO91" s="35">
        <f>H91*0.219742729</f>
        <v>0</v>
      </c>
      <c r="AP91" s="35">
        <f>H91*(1-0.219742729)</f>
        <v>0</v>
      </c>
      <c r="AQ91" s="62" t="s">
        <v>127</v>
      </c>
      <c r="AV91" s="35">
        <f>ROUND(AW91+AX91,2)</f>
        <v>0</v>
      </c>
      <c r="AW91" s="35">
        <f>ROUND(G91*AO91,2)</f>
        <v>0</v>
      </c>
      <c r="AX91" s="35">
        <f>ROUND(G91*AP91,2)</f>
        <v>0</v>
      </c>
      <c r="AY91" s="62" t="s">
        <v>313</v>
      </c>
      <c r="AZ91" s="62" t="s">
        <v>314</v>
      </c>
      <c r="BA91" s="46" t="s">
        <v>195</v>
      </c>
      <c r="BC91" s="35">
        <f>AW91+AX91</f>
        <v>0</v>
      </c>
      <c r="BD91" s="35">
        <f>H91/(100-BE91)*100</f>
        <v>0</v>
      </c>
      <c r="BE91" s="35">
        <v>0</v>
      </c>
      <c r="BF91" s="35">
        <f>91</f>
        <v>91</v>
      </c>
      <c r="BH91" s="35">
        <f>G91*AO91</f>
        <v>0</v>
      </c>
      <c r="BI91" s="35">
        <f>G91*AP91</f>
        <v>0</v>
      </c>
      <c r="BJ91" s="35">
        <f>G91*H91</f>
        <v>0</v>
      </c>
      <c r="BK91" s="62" t="s">
        <v>135</v>
      </c>
      <c r="BL91" s="35">
        <v>5</v>
      </c>
      <c r="BW91" s="35">
        <v>21</v>
      </c>
      <c r="BX91" s="3" t="s">
        <v>317</v>
      </c>
    </row>
    <row r="92" spans="1:76">
      <c r="A92" s="1" t="s">
        <v>318</v>
      </c>
      <c r="B92" s="2" t="s">
        <v>86</v>
      </c>
      <c r="C92" s="2" t="s">
        <v>319</v>
      </c>
      <c r="D92" s="92" t="s">
        <v>320</v>
      </c>
      <c r="E92" s="87"/>
      <c r="F92" s="2" t="s">
        <v>321</v>
      </c>
      <c r="G92" s="35">
        <v>23</v>
      </c>
      <c r="H92" s="61">
        <v>0</v>
      </c>
      <c r="I92" s="35">
        <f>ROUND(G92*H92,2)</f>
        <v>0</v>
      </c>
      <c r="K92" s="51"/>
      <c r="Z92" s="35">
        <f>ROUND(IF(AQ92="5",BJ92,0),2)</f>
        <v>0</v>
      </c>
      <c r="AB92" s="35">
        <f>ROUND(IF(AQ92="1",BH92,0),2)</f>
        <v>0</v>
      </c>
      <c r="AC92" s="35">
        <f>ROUND(IF(AQ92="1",BI92,0),2)</f>
        <v>0</v>
      </c>
      <c r="AD92" s="35">
        <f>ROUND(IF(AQ92="7",BH92,0),2)</f>
        <v>0</v>
      </c>
      <c r="AE92" s="35">
        <f>ROUND(IF(AQ92="7",BI92,0),2)</f>
        <v>0</v>
      </c>
      <c r="AF92" s="35">
        <f>ROUND(IF(AQ92="2",BH92,0),2)</f>
        <v>0</v>
      </c>
      <c r="AG92" s="35">
        <f>ROUND(IF(AQ92="2",BI92,0),2)</f>
        <v>0</v>
      </c>
      <c r="AH92" s="35">
        <f>ROUND(IF(AQ92="0",BJ92,0),2)</f>
        <v>0</v>
      </c>
      <c r="AI92" s="46" t="s">
        <v>86</v>
      </c>
      <c r="AJ92" s="35">
        <f>IF(AN92=0,I92,0)</f>
        <v>0</v>
      </c>
      <c r="AK92" s="35">
        <f>IF(AN92=12,I92,0)</f>
        <v>0</v>
      </c>
      <c r="AL92" s="35">
        <f>IF(AN92=21,I92,0)</f>
        <v>0</v>
      </c>
      <c r="AN92" s="35">
        <v>21</v>
      </c>
      <c r="AO92" s="35">
        <f>H92*1</f>
        <v>0</v>
      </c>
      <c r="AP92" s="35">
        <f>H92*(1-1)</f>
        <v>0</v>
      </c>
      <c r="AQ92" s="62" t="s">
        <v>127</v>
      </c>
      <c r="AV92" s="35">
        <f>ROUND(AW92+AX92,2)</f>
        <v>0</v>
      </c>
      <c r="AW92" s="35">
        <f>ROUND(G92*AO92,2)</f>
        <v>0</v>
      </c>
      <c r="AX92" s="35">
        <f>ROUND(G92*AP92,2)</f>
        <v>0</v>
      </c>
      <c r="AY92" s="62" t="s">
        <v>313</v>
      </c>
      <c r="AZ92" s="62" t="s">
        <v>314</v>
      </c>
      <c r="BA92" s="46" t="s">
        <v>195</v>
      </c>
      <c r="BC92" s="35">
        <f>AW92+AX92</f>
        <v>0</v>
      </c>
      <c r="BD92" s="35">
        <f>H92/(100-BE92)*100</f>
        <v>0</v>
      </c>
      <c r="BE92" s="35">
        <v>0</v>
      </c>
      <c r="BF92" s="35">
        <f>92</f>
        <v>92</v>
      </c>
      <c r="BH92" s="35">
        <f>G92*AO92</f>
        <v>0</v>
      </c>
      <c r="BI92" s="35">
        <f>G92*AP92</f>
        <v>0</v>
      </c>
      <c r="BJ92" s="35">
        <f>G92*H92</f>
        <v>0</v>
      </c>
      <c r="BK92" s="62" t="s">
        <v>277</v>
      </c>
      <c r="BL92" s="35">
        <v>5</v>
      </c>
      <c r="BW92" s="35">
        <v>21</v>
      </c>
      <c r="BX92" s="3" t="s">
        <v>320</v>
      </c>
    </row>
    <row r="93" spans="1:76">
      <c r="A93" s="1" t="s">
        <v>322</v>
      </c>
      <c r="B93" s="2" t="s">
        <v>86</v>
      </c>
      <c r="C93" s="2" t="s">
        <v>323</v>
      </c>
      <c r="D93" s="92" t="s">
        <v>324</v>
      </c>
      <c r="E93" s="87"/>
      <c r="F93" s="2" t="s">
        <v>321</v>
      </c>
      <c r="G93" s="35">
        <v>60</v>
      </c>
      <c r="H93" s="61">
        <v>0</v>
      </c>
      <c r="I93" s="35">
        <f>ROUND(G93*H93,2)</f>
        <v>0</v>
      </c>
      <c r="K93" s="51"/>
      <c r="Z93" s="35">
        <f>ROUND(IF(AQ93="5",BJ93,0),2)</f>
        <v>0</v>
      </c>
      <c r="AB93" s="35">
        <f>ROUND(IF(AQ93="1",BH93,0),2)</f>
        <v>0</v>
      </c>
      <c r="AC93" s="35">
        <f>ROUND(IF(AQ93="1",BI93,0),2)</f>
        <v>0</v>
      </c>
      <c r="AD93" s="35">
        <f>ROUND(IF(AQ93="7",BH93,0),2)</f>
        <v>0</v>
      </c>
      <c r="AE93" s="35">
        <f>ROUND(IF(AQ93="7",BI93,0),2)</f>
        <v>0</v>
      </c>
      <c r="AF93" s="35">
        <f>ROUND(IF(AQ93="2",BH93,0),2)</f>
        <v>0</v>
      </c>
      <c r="AG93" s="35">
        <f>ROUND(IF(AQ93="2",BI93,0),2)</f>
        <v>0</v>
      </c>
      <c r="AH93" s="35">
        <f>ROUND(IF(AQ93="0",BJ93,0),2)</f>
        <v>0</v>
      </c>
      <c r="AI93" s="46" t="s">
        <v>86</v>
      </c>
      <c r="AJ93" s="35">
        <f>IF(AN93=0,I93,0)</f>
        <v>0</v>
      </c>
      <c r="AK93" s="35">
        <f>IF(AN93=12,I93,0)</f>
        <v>0</v>
      </c>
      <c r="AL93" s="35">
        <f>IF(AN93=21,I93,0)</f>
        <v>0</v>
      </c>
      <c r="AN93" s="35">
        <v>21</v>
      </c>
      <c r="AO93" s="35">
        <f>H93*1</f>
        <v>0</v>
      </c>
      <c r="AP93" s="35">
        <f>H93*(1-1)</f>
        <v>0</v>
      </c>
      <c r="AQ93" s="62" t="s">
        <v>127</v>
      </c>
      <c r="AV93" s="35">
        <f>ROUND(AW93+AX93,2)</f>
        <v>0</v>
      </c>
      <c r="AW93" s="35">
        <f>ROUND(G93*AO93,2)</f>
        <v>0</v>
      </c>
      <c r="AX93" s="35">
        <f>ROUND(G93*AP93,2)</f>
        <v>0</v>
      </c>
      <c r="AY93" s="62" t="s">
        <v>313</v>
      </c>
      <c r="AZ93" s="62" t="s">
        <v>314</v>
      </c>
      <c r="BA93" s="46" t="s">
        <v>195</v>
      </c>
      <c r="BC93" s="35">
        <f>AW93+AX93</f>
        <v>0</v>
      </c>
      <c r="BD93" s="35">
        <f>H93/(100-BE93)*100</f>
        <v>0</v>
      </c>
      <c r="BE93" s="35">
        <v>0</v>
      </c>
      <c r="BF93" s="35">
        <f>93</f>
        <v>93</v>
      </c>
      <c r="BH93" s="35">
        <f>G93*AO93</f>
        <v>0</v>
      </c>
      <c r="BI93" s="35">
        <f>G93*AP93</f>
        <v>0</v>
      </c>
      <c r="BJ93" s="35">
        <f>G93*H93</f>
        <v>0</v>
      </c>
      <c r="BK93" s="62" t="s">
        <v>277</v>
      </c>
      <c r="BL93" s="35">
        <v>5</v>
      </c>
      <c r="BW93" s="35">
        <v>21</v>
      </c>
      <c r="BX93" s="3" t="s">
        <v>324</v>
      </c>
    </row>
    <row r="94" spans="1:76">
      <c r="A94" s="1" t="s">
        <v>325</v>
      </c>
      <c r="B94" s="2" t="s">
        <v>86</v>
      </c>
      <c r="C94" s="2" t="s">
        <v>326</v>
      </c>
      <c r="D94" s="92" t="s">
        <v>327</v>
      </c>
      <c r="E94" s="87"/>
      <c r="F94" s="2" t="s">
        <v>192</v>
      </c>
      <c r="G94" s="35">
        <v>9.4499999999999993</v>
      </c>
      <c r="H94" s="61">
        <v>0</v>
      </c>
      <c r="I94" s="35">
        <f>ROUND(G94*H94,2)</f>
        <v>0</v>
      </c>
      <c r="K94" s="51"/>
      <c r="Z94" s="35">
        <f>ROUND(IF(AQ94="5",BJ94,0),2)</f>
        <v>0</v>
      </c>
      <c r="AB94" s="35">
        <f>ROUND(IF(AQ94="1",BH94,0),2)</f>
        <v>0</v>
      </c>
      <c r="AC94" s="35">
        <f>ROUND(IF(AQ94="1",BI94,0),2)</f>
        <v>0</v>
      </c>
      <c r="AD94" s="35">
        <f>ROUND(IF(AQ94="7",BH94,0),2)</f>
        <v>0</v>
      </c>
      <c r="AE94" s="35">
        <f>ROUND(IF(AQ94="7",BI94,0),2)</f>
        <v>0</v>
      </c>
      <c r="AF94" s="35">
        <f>ROUND(IF(AQ94="2",BH94,0),2)</f>
        <v>0</v>
      </c>
      <c r="AG94" s="35">
        <f>ROUND(IF(AQ94="2",BI94,0),2)</f>
        <v>0</v>
      </c>
      <c r="AH94" s="35">
        <f>ROUND(IF(AQ94="0",BJ94,0),2)</f>
        <v>0</v>
      </c>
      <c r="AI94" s="46" t="s">
        <v>86</v>
      </c>
      <c r="AJ94" s="35">
        <f>IF(AN94=0,I94,0)</f>
        <v>0</v>
      </c>
      <c r="AK94" s="35">
        <f>IF(AN94=12,I94,0)</f>
        <v>0</v>
      </c>
      <c r="AL94" s="35">
        <f>IF(AN94=21,I94,0)</f>
        <v>0</v>
      </c>
      <c r="AN94" s="35">
        <v>21</v>
      </c>
      <c r="AO94" s="35">
        <f>H94*0.812068765</f>
        <v>0</v>
      </c>
      <c r="AP94" s="35">
        <f>H94*(1-0.812068765)</f>
        <v>0</v>
      </c>
      <c r="AQ94" s="62" t="s">
        <v>127</v>
      </c>
      <c r="AV94" s="35">
        <f>ROUND(AW94+AX94,2)</f>
        <v>0</v>
      </c>
      <c r="AW94" s="35">
        <f>ROUND(G94*AO94,2)</f>
        <v>0</v>
      </c>
      <c r="AX94" s="35">
        <f>ROUND(G94*AP94,2)</f>
        <v>0</v>
      </c>
      <c r="AY94" s="62" t="s">
        <v>313</v>
      </c>
      <c r="AZ94" s="62" t="s">
        <v>314</v>
      </c>
      <c r="BA94" s="46" t="s">
        <v>195</v>
      </c>
      <c r="BC94" s="35">
        <f>AW94+AX94</f>
        <v>0</v>
      </c>
      <c r="BD94" s="35">
        <f>H94/(100-BE94)*100</f>
        <v>0</v>
      </c>
      <c r="BE94" s="35">
        <v>0</v>
      </c>
      <c r="BF94" s="35">
        <f>94</f>
        <v>94</v>
      </c>
      <c r="BH94" s="35">
        <f>G94*AO94</f>
        <v>0</v>
      </c>
      <c r="BI94" s="35">
        <f>G94*AP94</f>
        <v>0</v>
      </c>
      <c r="BJ94" s="35">
        <f>G94*H94</f>
        <v>0</v>
      </c>
      <c r="BK94" s="62" t="s">
        <v>135</v>
      </c>
      <c r="BL94" s="35">
        <v>5</v>
      </c>
      <c r="BW94" s="35">
        <v>21</v>
      </c>
      <c r="BX94" s="3" t="s">
        <v>327</v>
      </c>
    </row>
    <row r="95" spans="1:76">
      <c r="A95" s="68"/>
      <c r="D95" s="69" t="s">
        <v>328</v>
      </c>
      <c r="E95" s="70" t="s">
        <v>329</v>
      </c>
      <c r="G95" s="71">
        <v>9.4499999999999993</v>
      </c>
      <c r="K95" s="51"/>
    </row>
    <row r="96" spans="1:76">
      <c r="A96" s="1" t="s">
        <v>244</v>
      </c>
      <c r="B96" s="2" t="s">
        <v>86</v>
      </c>
      <c r="C96" s="2" t="s">
        <v>330</v>
      </c>
      <c r="D96" s="92" t="s">
        <v>331</v>
      </c>
      <c r="E96" s="87"/>
      <c r="F96" s="2" t="s">
        <v>192</v>
      </c>
      <c r="G96" s="35">
        <v>36</v>
      </c>
      <c r="H96" s="61">
        <v>0</v>
      </c>
      <c r="I96" s="35">
        <f>ROUND(G96*H96,2)</f>
        <v>0</v>
      </c>
      <c r="K96" s="51"/>
      <c r="Z96" s="35">
        <f>ROUND(IF(AQ96="5",BJ96,0),2)</f>
        <v>0</v>
      </c>
      <c r="AB96" s="35">
        <f>ROUND(IF(AQ96="1",BH96,0),2)</f>
        <v>0</v>
      </c>
      <c r="AC96" s="35">
        <f>ROUND(IF(AQ96="1",BI96,0),2)</f>
        <v>0</v>
      </c>
      <c r="AD96" s="35">
        <f>ROUND(IF(AQ96="7",BH96,0),2)</f>
        <v>0</v>
      </c>
      <c r="AE96" s="35">
        <f>ROUND(IF(AQ96="7",BI96,0),2)</f>
        <v>0</v>
      </c>
      <c r="AF96" s="35">
        <f>ROUND(IF(AQ96="2",BH96,0),2)</f>
        <v>0</v>
      </c>
      <c r="AG96" s="35">
        <f>ROUND(IF(AQ96="2",BI96,0),2)</f>
        <v>0</v>
      </c>
      <c r="AH96" s="35">
        <f>ROUND(IF(AQ96="0",BJ96,0),2)</f>
        <v>0</v>
      </c>
      <c r="AI96" s="46" t="s">
        <v>86</v>
      </c>
      <c r="AJ96" s="35">
        <f>IF(AN96=0,I96,0)</f>
        <v>0</v>
      </c>
      <c r="AK96" s="35">
        <f>IF(AN96=12,I96,0)</f>
        <v>0</v>
      </c>
      <c r="AL96" s="35">
        <f>IF(AN96=21,I96,0)</f>
        <v>0</v>
      </c>
      <c r="AN96" s="35">
        <v>21</v>
      </c>
      <c r="AO96" s="35">
        <f>H96*0.844346438</f>
        <v>0</v>
      </c>
      <c r="AP96" s="35">
        <f>H96*(1-0.844346438)</f>
        <v>0</v>
      </c>
      <c r="AQ96" s="62" t="s">
        <v>127</v>
      </c>
      <c r="AV96" s="35">
        <f>ROUND(AW96+AX96,2)</f>
        <v>0</v>
      </c>
      <c r="AW96" s="35">
        <f>ROUND(G96*AO96,2)</f>
        <v>0</v>
      </c>
      <c r="AX96" s="35">
        <f>ROUND(G96*AP96,2)</f>
        <v>0</v>
      </c>
      <c r="AY96" s="62" t="s">
        <v>313</v>
      </c>
      <c r="AZ96" s="62" t="s">
        <v>314</v>
      </c>
      <c r="BA96" s="46" t="s">
        <v>195</v>
      </c>
      <c r="BC96" s="35">
        <f>AW96+AX96</f>
        <v>0</v>
      </c>
      <c r="BD96" s="35">
        <f>H96/(100-BE96)*100</f>
        <v>0</v>
      </c>
      <c r="BE96" s="35">
        <v>0</v>
      </c>
      <c r="BF96" s="35">
        <f>96</f>
        <v>96</v>
      </c>
      <c r="BH96" s="35">
        <f>G96*AO96</f>
        <v>0</v>
      </c>
      <c r="BI96" s="35">
        <f>G96*AP96</f>
        <v>0</v>
      </c>
      <c r="BJ96" s="35">
        <f>G96*H96</f>
        <v>0</v>
      </c>
      <c r="BK96" s="62" t="s">
        <v>135</v>
      </c>
      <c r="BL96" s="35">
        <v>5</v>
      </c>
      <c r="BW96" s="35">
        <v>21</v>
      </c>
      <c r="BX96" s="3" t="s">
        <v>331</v>
      </c>
    </row>
    <row r="97" spans="1:76">
      <c r="A97" s="68"/>
      <c r="D97" s="69" t="s">
        <v>332</v>
      </c>
      <c r="E97" s="70" t="s">
        <v>333</v>
      </c>
      <c r="G97" s="71">
        <v>36</v>
      </c>
      <c r="K97" s="51"/>
    </row>
    <row r="98" spans="1:76">
      <c r="A98" s="1" t="s">
        <v>334</v>
      </c>
      <c r="B98" s="2" t="s">
        <v>86</v>
      </c>
      <c r="C98" s="2" t="s">
        <v>335</v>
      </c>
      <c r="D98" s="92" t="s">
        <v>336</v>
      </c>
      <c r="E98" s="87"/>
      <c r="F98" s="2" t="s">
        <v>192</v>
      </c>
      <c r="G98" s="35">
        <v>441.5</v>
      </c>
      <c r="H98" s="61">
        <v>0</v>
      </c>
      <c r="I98" s="35">
        <f>ROUND(G98*H98,2)</f>
        <v>0</v>
      </c>
      <c r="K98" s="51"/>
      <c r="Z98" s="35">
        <f>ROUND(IF(AQ98="5",BJ98,0),2)</f>
        <v>0</v>
      </c>
      <c r="AB98" s="35">
        <f>ROUND(IF(AQ98="1",BH98,0),2)</f>
        <v>0</v>
      </c>
      <c r="AC98" s="35">
        <f>ROUND(IF(AQ98="1",BI98,0),2)</f>
        <v>0</v>
      </c>
      <c r="AD98" s="35">
        <f>ROUND(IF(AQ98="7",BH98,0),2)</f>
        <v>0</v>
      </c>
      <c r="AE98" s="35">
        <f>ROUND(IF(AQ98="7",BI98,0),2)</f>
        <v>0</v>
      </c>
      <c r="AF98" s="35">
        <f>ROUND(IF(AQ98="2",BH98,0),2)</f>
        <v>0</v>
      </c>
      <c r="AG98" s="35">
        <f>ROUND(IF(AQ98="2",BI98,0),2)</f>
        <v>0</v>
      </c>
      <c r="AH98" s="35">
        <f>ROUND(IF(AQ98="0",BJ98,0),2)</f>
        <v>0</v>
      </c>
      <c r="AI98" s="46" t="s">
        <v>86</v>
      </c>
      <c r="AJ98" s="35">
        <f>IF(AN98=0,I98,0)</f>
        <v>0</v>
      </c>
      <c r="AK98" s="35">
        <f>IF(AN98=12,I98,0)</f>
        <v>0</v>
      </c>
      <c r="AL98" s="35">
        <f>IF(AN98=21,I98,0)</f>
        <v>0</v>
      </c>
      <c r="AN98" s="35">
        <v>21</v>
      </c>
      <c r="AO98" s="35">
        <f>H98*0.84595186</f>
        <v>0</v>
      </c>
      <c r="AP98" s="35">
        <f>H98*(1-0.84595186)</f>
        <v>0</v>
      </c>
      <c r="AQ98" s="62" t="s">
        <v>127</v>
      </c>
      <c r="AV98" s="35">
        <f>ROUND(AW98+AX98,2)</f>
        <v>0</v>
      </c>
      <c r="AW98" s="35">
        <f>ROUND(G98*AO98,2)</f>
        <v>0</v>
      </c>
      <c r="AX98" s="35">
        <f>ROUND(G98*AP98,2)</f>
        <v>0</v>
      </c>
      <c r="AY98" s="62" t="s">
        <v>313</v>
      </c>
      <c r="AZ98" s="62" t="s">
        <v>314</v>
      </c>
      <c r="BA98" s="46" t="s">
        <v>195</v>
      </c>
      <c r="BC98" s="35">
        <f>AW98+AX98</f>
        <v>0</v>
      </c>
      <c r="BD98" s="35">
        <f>H98/(100-BE98)*100</f>
        <v>0</v>
      </c>
      <c r="BE98" s="35">
        <v>0</v>
      </c>
      <c r="BF98" s="35">
        <f>98</f>
        <v>98</v>
      </c>
      <c r="BH98" s="35">
        <f>G98*AO98</f>
        <v>0</v>
      </c>
      <c r="BI98" s="35">
        <f>G98*AP98</f>
        <v>0</v>
      </c>
      <c r="BJ98" s="35">
        <f>G98*H98</f>
        <v>0</v>
      </c>
      <c r="BK98" s="62" t="s">
        <v>135</v>
      </c>
      <c r="BL98" s="35">
        <v>5</v>
      </c>
      <c r="BW98" s="35">
        <v>21</v>
      </c>
      <c r="BX98" s="3" t="s">
        <v>336</v>
      </c>
    </row>
    <row r="99" spans="1:76" ht="13.5" customHeight="1">
      <c r="A99" s="68"/>
      <c r="C99" s="72" t="s">
        <v>337</v>
      </c>
      <c r="D99" s="178" t="s">
        <v>338</v>
      </c>
      <c r="E99" s="179"/>
      <c r="F99" s="179"/>
      <c r="G99" s="179"/>
      <c r="H99" s="180"/>
      <c r="I99" s="179"/>
      <c r="J99" s="179"/>
      <c r="K99" s="181"/>
    </row>
    <row r="100" spans="1:76">
      <c r="A100" s="68"/>
      <c r="D100" s="69" t="s">
        <v>339</v>
      </c>
      <c r="E100" s="70" t="s">
        <v>4</v>
      </c>
      <c r="G100" s="71">
        <v>551.5</v>
      </c>
      <c r="K100" s="51"/>
    </row>
    <row r="101" spans="1:76">
      <c r="A101" s="68"/>
      <c r="D101" s="69" t="s">
        <v>340</v>
      </c>
      <c r="E101" s="70" t="s">
        <v>341</v>
      </c>
      <c r="G101" s="71">
        <v>-110</v>
      </c>
      <c r="K101" s="51"/>
    </row>
    <row r="102" spans="1:76">
      <c r="A102" s="1" t="s">
        <v>342</v>
      </c>
      <c r="B102" s="2" t="s">
        <v>86</v>
      </c>
      <c r="C102" s="2" t="s">
        <v>343</v>
      </c>
      <c r="D102" s="92" t="s">
        <v>336</v>
      </c>
      <c r="E102" s="87"/>
      <c r="F102" s="2" t="s">
        <v>192</v>
      </c>
      <c r="G102" s="35">
        <v>110</v>
      </c>
      <c r="H102" s="61">
        <v>0</v>
      </c>
      <c r="I102" s="35">
        <f>ROUND(G102*H102,2)</f>
        <v>0</v>
      </c>
      <c r="K102" s="51"/>
      <c r="Z102" s="35">
        <f>ROUND(IF(AQ102="5",BJ102,0),2)</f>
        <v>0</v>
      </c>
      <c r="AB102" s="35">
        <f>ROUND(IF(AQ102="1",BH102,0),2)</f>
        <v>0</v>
      </c>
      <c r="AC102" s="35">
        <f>ROUND(IF(AQ102="1",BI102,0),2)</f>
        <v>0</v>
      </c>
      <c r="AD102" s="35">
        <f>ROUND(IF(AQ102="7",BH102,0),2)</f>
        <v>0</v>
      </c>
      <c r="AE102" s="35">
        <f>ROUND(IF(AQ102="7",BI102,0),2)</f>
        <v>0</v>
      </c>
      <c r="AF102" s="35">
        <f>ROUND(IF(AQ102="2",BH102,0),2)</f>
        <v>0</v>
      </c>
      <c r="AG102" s="35">
        <f>ROUND(IF(AQ102="2",BI102,0),2)</f>
        <v>0</v>
      </c>
      <c r="AH102" s="35">
        <f>ROUND(IF(AQ102="0",BJ102,0),2)</f>
        <v>0</v>
      </c>
      <c r="AI102" s="46" t="s">
        <v>86</v>
      </c>
      <c r="AJ102" s="35">
        <f>IF(AN102=0,I102,0)</f>
        <v>0</v>
      </c>
      <c r="AK102" s="35">
        <f>IF(AN102=12,I102,0)</f>
        <v>0</v>
      </c>
      <c r="AL102" s="35">
        <f>IF(AN102=21,I102,0)</f>
        <v>0</v>
      </c>
      <c r="AN102" s="35">
        <v>21</v>
      </c>
      <c r="AO102" s="35">
        <f>H102*0.057219251</f>
        <v>0</v>
      </c>
      <c r="AP102" s="35">
        <f>H102*(1-0.057219251)</f>
        <v>0</v>
      </c>
      <c r="AQ102" s="62" t="s">
        <v>127</v>
      </c>
      <c r="AV102" s="35">
        <f>ROUND(AW102+AX102,2)</f>
        <v>0</v>
      </c>
      <c r="AW102" s="35">
        <f>ROUND(G102*AO102,2)</f>
        <v>0</v>
      </c>
      <c r="AX102" s="35">
        <f>ROUND(G102*AP102,2)</f>
        <v>0</v>
      </c>
      <c r="AY102" s="62" t="s">
        <v>313</v>
      </c>
      <c r="AZ102" s="62" t="s">
        <v>314</v>
      </c>
      <c r="BA102" s="46" t="s">
        <v>195</v>
      </c>
      <c r="BC102" s="35">
        <f>AW102+AX102</f>
        <v>0</v>
      </c>
      <c r="BD102" s="35">
        <f>H102/(100-BE102)*100</f>
        <v>0</v>
      </c>
      <c r="BE102" s="35">
        <v>0</v>
      </c>
      <c r="BF102" s="35">
        <f>102</f>
        <v>102</v>
      </c>
      <c r="BH102" s="35">
        <f>G102*AO102</f>
        <v>0</v>
      </c>
      <c r="BI102" s="35">
        <f>G102*AP102</f>
        <v>0</v>
      </c>
      <c r="BJ102" s="35">
        <f>G102*H102</f>
        <v>0</v>
      </c>
      <c r="BK102" s="62" t="s">
        <v>135</v>
      </c>
      <c r="BL102" s="35">
        <v>5</v>
      </c>
      <c r="BW102" s="35">
        <v>21</v>
      </c>
      <c r="BX102" s="3" t="s">
        <v>336</v>
      </c>
    </row>
    <row r="103" spans="1:76" ht="13.5" customHeight="1">
      <c r="A103" s="68"/>
      <c r="C103" s="72" t="s">
        <v>337</v>
      </c>
      <c r="D103" s="178" t="s">
        <v>344</v>
      </c>
      <c r="E103" s="179"/>
      <c r="F103" s="179"/>
      <c r="G103" s="179"/>
      <c r="H103" s="180"/>
      <c r="I103" s="179"/>
      <c r="J103" s="179"/>
      <c r="K103" s="181"/>
    </row>
    <row r="104" spans="1:76">
      <c r="A104" s="68"/>
      <c r="D104" s="69" t="s">
        <v>345</v>
      </c>
      <c r="E104" s="70" t="s">
        <v>341</v>
      </c>
      <c r="G104" s="71">
        <v>110</v>
      </c>
      <c r="K104" s="51"/>
    </row>
    <row r="105" spans="1:76">
      <c r="A105" s="1" t="s">
        <v>346</v>
      </c>
      <c r="B105" s="2" t="s">
        <v>86</v>
      </c>
      <c r="C105" s="2" t="s">
        <v>347</v>
      </c>
      <c r="D105" s="92" t="s">
        <v>348</v>
      </c>
      <c r="E105" s="87"/>
      <c r="F105" s="2" t="s">
        <v>192</v>
      </c>
      <c r="G105" s="35">
        <v>60</v>
      </c>
      <c r="H105" s="61">
        <v>0</v>
      </c>
      <c r="I105" s="35">
        <f>ROUND(G105*H105,2)</f>
        <v>0</v>
      </c>
      <c r="K105" s="51"/>
      <c r="Z105" s="35">
        <f>ROUND(IF(AQ105="5",BJ105,0),2)</f>
        <v>0</v>
      </c>
      <c r="AB105" s="35">
        <f>ROUND(IF(AQ105="1",BH105,0),2)</f>
        <v>0</v>
      </c>
      <c r="AC105" s="35">
        <f>ROUND(IF(AQ105="1",BI105,0),2)</f>
        <v>0</v>
      </c>
      <c r="AD105" s="35">
        <f>ROUND(IF(AQ105="7",BH105,0),2)</f>
        <v>0</v>
      </c>
      <c r="AE105" s="35">
        <f>ROUND(IF(AQ105="7",BI105,0),2)</f>
        <v>0</v>
      </c>
      <c r="AF105" s="35">
        <f>ROUND(IF(AQ105="2",BH105,0),2)</f>
        <v>0</v>
      </c>
      <c r="AG105" s="35">
        <f>ROUND(IF(AQ105="2",BI105,0),2)</f>
        <v>0</v>
      </c>
      <c r="AH105" s="35">
        <f>ROUND(IF(AQ105="0",BJ105,0),2)</f>
        <v>0</v>
      </c>
      <c r="AI105" s="46" t="s">
        <v>86</v>
      </c>
      <c r="AJ105" s="35">
        <f>IF(AN105=0,I105,0)</f>
        <v>0</v>
      </c>
      <c r="AK105" s="35">
        <f>IF(AN105=12,I105,0)</f>
        <v>0</v>
      </c>
      <c r="AL105" s="35">
        <f>IF(AN105=21,I105,0)</f>
        <v>0</v>
      </c>
      <c r="AN105" s="35">
        <v>21</v>
      </c>
      <c r="AO105" s="35">
        <f>H105*0.011320755</f>
        <v>0</v>
      </c>
      <c r="AP105" s="35">
        <f>H105*(1-0.011320755)</f>
        <v>0</v>
      </c>
      <c r="AQ105" s="62" t="s">
        <v>127</v>
      </c>
      <c r="AV105" s="35">
        <f>ROUND(AW105+AX105,2)</f>
        <v>0</v>
      </c>
      <c r="AW105" s="35">
        <f>ROUND(G105*AO105,2)</f>
        <v>0</v>
      </c>
      <c r="AX105" s="35">
        <f>ROUND(G105*AP105,2)</f>
        <v>0</v>
      </c>
      <c r="AY105" s="62" t="s">
        <v>313</v>
      </c>
      <c r="AZ105" s="62" t="s">
        <v>314</v>
      </c>
      <c r="BA105" s="46" t="s">
        <v>195</v>
      </c>
      <c r="BC105" s="35">
        <f>AW105+AX105</f>
        <v>0</v>
      </c>
      <c r="BD105" s="35">
        <f>H105/(100-BE105)*100</f>
        <v>0</v>
      </c>
      <c r="BE105" s="35">
        <v>0</v>
      </c>
      <c r="BF105" s="35">
        <f>105</f>
        <v>105</v>
      </c>
      <c r="BH105" s="35">
        <f>G105*AO105</f>
        <v>0</v>
      </c>
      <c r="BI105" s="35">
        <f>G105*AP105</f>
        <v>0</v>
      </c>
      <c r="BJ105" s="35">
        <f>G105*H105</f>
        <v>0</v>
      </c>
      <c r="BK105" s="62" t="s">
        <v>135</v>
      </c>
      <c r="BL105" s="35">
        <v>5</v>
      </c>
      <c r="BW105" s="35">
        <v>21</v>
      </c>
      <c r="BX105" s="3" t="s">
        <v>348</v>
      </c>
    </row>
    <row r="106" spans="1:76">
      <c r="A106" s="57" t="s">
        <v>4</v>
      </c>
      <c r="B106" s="58" t="s">
        <v>86</v>
      </c>
      <c r="C106" s="58" t="s">
        <v>349</v>
      </c>
      <c r="D106" s="174" t="s">
        <v>350</v>
      </c>
      <c r="E106" s="175"/>
      <c r="F106" s="59" t="s">
        <v>79</v>
      </c>
      <c r="G106" s="59" t="s">
        <v>79</v>
      </c>
      <c r="H106" s="60" t="s">
        <v>79</v>
      </c>
      <c r="I106" s="40">
        <f>SUM(I107:I133)</f>
        <v>0</v>
      </c>
      <c r="K106" s="51"/>
      <c r="AI106" s="46" t="s">
        <v>86</v>
      </c>
      <c r="AS106" s="40">
        <f>SUM(AJ107:AJ133)</f>
        <v>0</v>
      </c>
      <c r="AT106" s="40">
        <f>SUM(AK107:AK133)</f>
        <v>0</v>
      </c>
      <c r="AU106" s="40">
        <f>SUM(AL107:AL133)</f>
        <v>0</v>
      </c>
    </row>
    <row r="107" spans="1:76">
      <c r="A107" s="1" t="s">
        <v>351</v>
      </c>
      <c r="B107" s="2" t="s">
        <v>86</v>
      </c>
      <c r="C107" s="2" t="s">
        <v>352</v>
      </c>
      <c r="D107" s="92" t="s">
        <v>353</v>
      </c>
      <c r="E107" s="87"/>
      <c r="F107" s="2" t="s">
        <v>192</v>
      </c>
      <c r="G107" s="35">
        <v>150.9</v>
      </c>
      <c r="H107" s="61">
        <v>0</v>
      </c>
      <c r="I107" s="35">
        <f>ROUND(G107*H107,2)</f>
        <v>0</v>
      </c>
      <c r="K107" s="51"/>
      <c r="Z107" s="35">
        <f>ROUND(IF(AQ107="5",BJ107,0),2)</f>
        <v>0</v>
      </c>
      <c r="AB107" s="35">
        <f>ROUND(IF(AQ107="1",BH107,0),2)</f>
        <v>0</v>
      </c>
      <c r="AC107" s="35">
        <f>ROUND(IF(AQ107="1",BI107,0),2)</f>
        <v>0</v>
      </c>
      <c r="AD107" s="35">
        <f>ROUND(IF(AQ107="7",BH107,0),2)</f>
        <v>0</v>
      </c>
      <c r="AE107" s="35">
        <f>ROUND(IF(AQ107="7",BI107,0),2)</f>
        <v>0</v>
      </c>
      <c r="AF107" s="35">
        <f>ROUND(IF(AQ107="2",BH107,0),2)</f>
        <v>0</v>
      </c>
      <c r="AG107" s="35">
        <f>ROUND(IF(AQ107="2",BI107,0),2)</f>
        <v>0</v>
      </c>
      <c r="AH107" s="35">
        <f>ROUND(IF(AQ107="0",BJ107,0),2)</f>
        <v>0</v>
      </c>
      <c r="AI107" s="46" t="s">
        <v>86</v>
      </c>
      <c r="AJ107" s="35">
        <f>IF(AN107=0,I107,0)</f>
        <v>0</v>
      </c>
      <c r="AK107" s="35">
        <f>IF(AN107=12,I107,0)</f>
        <v>0</v>
      </c>
      <c r="AL107" s="35">
        <f>IF(AN107=21,I107,0)</f>
        <v>0</v>
      </c>
      <c r="AN107" s="35">
        <v>21</v>
      </c>
      <c r="AO107" s="35">
        <f>H107*0.763101734</f>
        <v>0</v>
      </c>
      <c r="AP107" s="35">
        <f>H107*(1-0.763101734)</f>
        <v>0</v>
      </c>
      <c r="AQ107" s="62" t="s">
        <v>127</v>
      </c>
      <c r="AV107" s="35">
        <f>ROUND(AW107+AX107,2)</f>
        <v>0</v>
      </c>
      <c r="AW107" s="35">
        <f>ROUND(G107*AO107,2)</f>
        <v>0</v>
      </c>
      <c r="AX107" s="35">
        <f>ROUND(G107*AP107,2)</f>
        <v>0</v>
      </c>
      <c r="AY107" s="62" t="s">
        <v>354</v>
      </c>
      <c r="AZ107" s="62" t="s">
        <v>314</v>
      </c>
      <c r="BA107" s="46" t="s">
        <v>195</v>
      </c>
      <c r="BC107" s="35">
        <f>AW107+AX107</f>
        <v>0</v>
      </c>
      <c r="BD107" s="35">
        <f>H107/(100-BE107)*100</f>
        <v>0</v>
      </c>
      <c r="BE107" s="35">
        <v>0</v>
      </c>
      <c r="BF107" s="35">
        <f>107</f>
        <v>107</v>
      </c>
      <c r="BH107" s="35">
        <f>G107*AO107</f>
        <v>0</v>
      </c>
      <c r="BI107" s="35">
        <f>G107*AP107</f>
        <v>0</v>
      </c>
      <c r="BJ107" s="35">
        <f>G107*H107</f>
        <v>0</v>
      </c>
      <c r="BK107" s="62" t="s">
        <v>135</v>
      </c>
      <c r="BL107" s="35">
        <v>59</v>
      </c>
      <c r="BW107" s="35">
        <v>21</v>
      </c>
      <c r="BX107" s="3" t="s">
        <v>353</v>
      </c>
    </row>
    <row r="108" spans="1:76">
      <c r="A108" s="68"/>
      <c r="D108" s="69" t="s">
        <v>355</v>
      </c>
      <c r="E108" s="70" t="s">
        <v>356</v>
      </c>
      <c r="G108" s="71">
        <v>150.9</v>
      </c>
      <c r="K108" s="51"/>
    </row>
    <row r="109" spans="1:76">
      <c r="A109" s="1" t="s">
        <v>357</v>
      </c>
      <c r="B109" s="2" t="s">
        <v>86</v>
      </c>
      <c r="C109" s="2" t="s">
        <v>358</v>
      </c>
      <c r="D109" s="92" t="s">
        <v>359</v>
      </c>
      <c r="E109" s="87"/>
      <c r="F109" s="2" t="s">
        <v>192</v>
      </c>
      <c r="G109" s="35">
        <v>529</v>
      </c>
      <c r="H109" s="61">
        <v>0</v>
      </c>
      <c r="I109" s="35">
        <f>ROUND(G109*H109,2)</f>
        <v>0</v>
      </c>
      <c r="K109" s="51"/>
      <c r="Z109" s="35">
        <f>ROUND(IF(AQ109="5",BJ109,0),2)</f>
        <v>0</v>
      </c>
      <c r="AB109" s="35">
        <f>ROUND(IF(AQ109="1",BH109,0),2)</f>
        <v>0</v>
      </c>
      <c r="AC109" s="35">
        <f>ROUND(IF(AQ109="1",BI109,0),2)</f>
        <v>0</v>
      </c>
      <c r="AD109" s="35">
        <f>ROUND(IF(AQ109="7",BH109,0),2)</f>
        <v>0</v>
      </c>
      <c r="AE109" s="35">
        <f>ROUND(IF(AQ109="7",BI109,0),2)</f>
        <v>0</v>
      </c>
      <c r="AF109" s="35">
        <f>ROUND(IF(AQ109="2",BH109,0),2)</f>
        <v>0</v>
      </c>
      <c r="AG109" s="35">
        <f>ROUND(IF(AQ109="2",BI109,0),2)</f>
        <v>0</v>
      </c>
      <c r="AH109" s="35">
        <f>ROUND(IF(AQ109="0",BJ109,0),2)</f>
        <v>0</v>
      </c>
      <c r="AI109" s="46" t="s">
        <v>86</v>
      </c>
      <c r="AJ109" s="35">
        <f>IF(AN109=0,I109,0)</f>
        <v>0</v>
      </c>
      <c r="AK109" s="35">
        <f>IF(AN109=12,I109,0)</f>
        <v>0</v>
      </c>
      <c r="AL109" s="35">
        <f>IF(AN109=21,I109,0)</f>
        <v>0</v>
      </c>
      <c r="AN109" s="35">
        <v>21</v>
      </c>
      <c r="AO109" s="35">
        <f>H109*0.170541401</f>
        <v>0</v>
      </c>
      <c r="AP109" s="35">
        <f>H109*(1-0.170541401)</f>
        <v>0</v>
      </c>
      <c r="AQ109" s="62" t="s">
        <v>127</v>
      </c>
      <c r="AV109" s="35">
        <f>ROUND(AW109+AX109,2)</f>
        <v>0</v>
      </c>
      <c r="AW109" s="35">
        <f>ROUND(G109*AO109,2)</f>
        <v>0</v>
      </c>
      <c r="AX109" s="35">
        <f>ROUND(G109*AP109,2)</f>
        <v>0</v>
      </c>
      <c r="AY109" s="62" t="s">
        <v>354</v>
      </c>
      <c r="AZ109" s="62" t="s">
        <v>314</v>
      </c>
      <c r="BA109" s="46" t="s">
        <v>195</v>
      </c>
      <c r="BC109" s="35">
        <f>AW109+AX109</f>
        <v>0</v>
      </c>
      <c r="BD109" s="35">
        <f>H109/(100-BE109)*100</f>
        <v>0</v>
      </c>
      <c r="BE109" s="35">
        <v>0</v>
      </c>
      <c r="BF109" s="35">
        <f>109</f>
        <v>109</v>
      </c>
      <c r="BH109" s="35">
        <f>G109*AO109</f>
        <v>0</v>
      </c>
      <c r="BI109" s="35">
        <f>G109*AP109</f>
        <v>0</v>
      </c>
      <c r="BJ109" s="35">
        <f>G109*H109</f>
        <v>0</v>
      </c>
      <c r="BK109" s="62" t="s">
        <v>135</v>
      </c>
      <c r="BL109" s="35">
        <v>59</v>
      </c>
      <c r="BW109" s="35">
        <v>21</v>
      </c>
      <c r="BX109" s="3" t="s">
        <v>359</v>
      </c>
    </row>
    <row r="110" spans="1:76">
      <c r="A110" s="68"/>
      <c r="D110" s="69" t="s">
        <v>360</v>
      </c>
      <c r="E110" s="70" t="s">
        <v>361</v>
      </c>
      <c r="G110" s="71">
        <v>518.9</v>
      </c>
      <c r="K110" s="51"/>
    </row>
    <row r="111" spans="1:76">
      <c r="A111" s="68"/>
      <c r="D111" s="69" t="s">
        <v>362</v>
      </c>
      <c r="E111" s="70" t="s">
        <v>363</v>
      </c>
      <c r="G111" s="71">
        <v>5.7</v>
      </c>
      <c r="K111" s="51"/>
    </row>
    <row r="112" spans="1:76">
      <c r="A112" s="68"/>
      <c r="D112" s="69" t="s">
        <v>364</v>
      </c>
      <c r="E112" s="70" t="s">
        <v>365</v>
      </c>
      <c r="G112" s="71">
        <v>4.4000000000000004</v>
      </c>
      <c r="K112" s="51"/>
    </row>
    <row r="113" spans="1:76">
      <c r="A113" s="1" t="s">
        <v>366</v>
      </c>
      <c r="B113" s="2" t="s">
        <v>86</v>
      </c>
      <c r="C113" s="2" t="s">
        <v>367</v>
      </c>
      <c r="D113" s="92" t="s">
        <v>368</v>
      </c>
      <c r="E113" s="87"/>
      <c r="F113" s="2" t="s">
        <v>282</v>
      </c>
      <c r="G113" s="35">
        <v>205</v>
      </c>
      <c r="H113" s="61">
        <v>0</v>
      </c>
      <c r="I113" s="35">
        <f>ROUND(G113*H113,2)</f>
        <v>0</v>
      </c>
      <c r="K113" s="51"/>
      <c r="Z113" s="35">
        <f>ROUND(IF(AQ113="5",BJ113,0),2)</f>
        <v>0</v>
      </c>
      <c r="AB113" s="35">
        <f>ROUND(IF(AQ113="1",BH113,0),2)</f>
        <v>0</v>
      </c>
      <c r="AC113" s="35">
        <f>ROUND(IF(AQ113="1",BI113,0),2)</f>
        <v>0</v>
      </c>
      <c r="AD113" s="35">
        <f>ROUND(IF(AQ113="7",BH113,0),2)</f>
        <v>0</v>
      </c>
      <c r="AE113" s="35">
        <f>ROUND(IF(AQ113="7",BI113,0),2)</f>
        <v>0</v>
      </c>
      <c r="AF113" s="35">
        <f>ROUND(IF(AQ113="2",BH113,0),2)</f>
        <v>0</v>
      </c>
      <c r="AG113" s="35">
        <f>ROUND(IF(AQ113="2",BI113,0),2)</f>
        <v>0</v>
      </c>
      <c r="AH113" s="35">
        <f>ROUND(IF(AQ113="0",BJ113,0),2)</f>
        <v>0</v>
      </c>
      <c r="AI113" s="46" t="s">
        <v>86</v>
      </c>
      <c r="AJ113" s="35">
        <f>IF(AN113=0,I113,0)</f>
        <v>0</v>
      </c>
      <c r="AK113" s="35">
        <f>IF(AN113=12,I113,0)</f>
        <v>0</v>
      </c>
      <c r="AL113" s="35">
        <f>IF(AN113=21,I113,0)</f>
        <v>0</v>
      </c>
      <c r="AN113" s="35">
        <v>21</v>
      </c>
      <c r="AO113" s="35">
        <f>H113*0.053195815</f>
        <v>0</v>
      </c>
      <c r="AP113" s="35">
        <f>H113*(1-0.053195815)</f>
        <v>0</v>
      </c>
      <c r="AQ113" s="62" t="s">
        <v>127</v>
      </c>
      <c r="AV113" s="35">
        <f>ROUND(AW113+AX113,2)</f>
        <v>0</v>
      </c>
      <c r="AW113" s="35">
        <f>ROUND(G113*AO113,2)</f>
        <v>0</v>
      </c>
      <c r="AX113" s="35">
        <f>ROUND(G113*AP113,2)</f>
        <v>0</v>
      </c>
      <c r="AY113" s="62" t="s">
        <v>354</v>
      </c>
      <c r="AZ113" s="62" t="s">
        <v>314</v>
      </c>
      <c r="BA113" s="46" t="s">
        <v>195</v>
      </c>
      <c r="BC113" s="35">
        <f>AW113+AX113</f>
        <v>0</v>
      </c>
      <c r="BD113" s="35">
        <f>H113/(100-BE113)*100</f>
        <v>0</v>
      </c>
      <c r="BE113" s="35">
        <v>0</v>
      </c>
      <c r="BF113" s="35">
        <f>113</f>
        <v>113</v>
      </c>
      <c r="BH113" s="35">
        <f>G113*AO113</f>
        <v>0</v>
      </c>
      <c r="BI113" s="35">
        <f>G113*AP113</f>
        <v>0</v>
      </c>
      <c r="BJ113" s="35">
        <f>G113*H113</f>
        <v>0</v>
      </c>
      <c r="BK113" s="62" t="s">
        <v>135</v>
      </c>
      <c r="BL113" s="35">
        <v>59</v>
      </c>
      <c r="BW113" s="35">
        <v>21</v>
      </c>
      <c r="BX113" s="3" t="s">
        <v>368</v>
      </c>
    </row>
    <row r="114" spans="1:76">
      <c r="A114" s="1" t="s">
        <v>369</v>
      </c>
      <c r="B114" s="2" t="s">
        <v>86</v>
      </c>
      <c r="C114" s="2" t="s">
        <v>370</v>
      </c>
      <c r="D114" s="92" t="s">
        <v>371</v>
      </c>
      <c r="E114" s="87"/>
      <c r="F114" s="2" t="s">
        <v>192</v>
      </c>
      <c r="G114" s="35">
        <v>4.9000000000000004</v>
      </c>
      <c r="H114" s="61">
        <v>0</v>
      </c>
      <c r="I114" s="35">
        <f>ROUND(G114*H114,2)</f>
        <v>0</v>
      </c>
      <c r="K114" s="51"/>
      <c r="Z114" s="35">
        <f>ROUND(IF(AQ114="5",BJ114,0),2)</f>
        <v>0</v>
      </c>
      <c r="AB114" s="35">
        <f>ROUND(IF(AQ114="1",BH114,0),2)</f>
        <v>0</v>
      </c>
      <c r="AC114" s="35">
        <f>ROUND(IF(AQ114="1",BI114,0),2)</f>
        <v>0</v>
      </c>
      <c r="AD114" s="35">
        <f>ROUND(IF(AQ114="7",BH114,0),2)</f>
        <v>0</v>
      </c>
      <c r="AE114" s="35">
        <f>ROUND(IF(AQ114="7",BI114,0),2)</f>
        <v>0</v>
      </c>
      <c r="AF114" s="35">
        <f>ROUND(IF(AQ114="2",BH114,0),2)</f>
        <v>0</v>
      </c>
      <c r="AG114" s="35">
        <f>ROUND(IF(AQ114="2",BI114,0),2)</f>
        <v>0</v>
      </c>
      <c r="AH114" s="35">
        <f>ROUND(IF(AQ114="0",BJ114,0),2)</f>
        <v>0</v>
      </c>
      <c r="AI114" s="46" t="s">
        <v>86</v>
      </c>
      <c r="AJ114" s="35">
        <f>IF(AN114=0,I114,0)</f>
        <v>0</v>
      </c>
      <c r="AK114" s="35">
        <f>IF(AN114=12,I114,0)</f>
        <v>0</v>
      </c>
      <c r="AL114" s="35">
        <f>IF(AN114=21,I114,0)</f>
        <v>0</v>
      </c>
      <c r="AN114" s="35">
        <v>21</v>
      </c>
      <c r="AO114" s="35">
        <f>H114*0.162275819</f>
        <v>0</v>
      </c>
      <c r="AP114" s="35">
        <f>H114*(1-0.162275819)</f>
        <v>0</v>
      </c>
      <c r="AQ114" s="62" t="s">
        <v>127</v>
      </c>
      <c r="AV114" s="35">
        <f>ROUND(AW114+AX114,2)</f>
        <v>0</v>
      </c>
      <c r="AW114" s="35">
        <f>ROUND(G114*AO114,2)</f>
        <v>0</v>
      </c>
      <c r="AX114" s="35">
        <f>ROUND(G114*AP114,2)</f>
        <v>0</v>
      </c>
      <c r="AY114" s="62" t="s">
        <v>354</v>
      </c>
      <c r="AZ114" s="62" t="s">
        <v>314</v>
      </c>
      <c r="BA114" s="46" t="s">
        <v>195</v>
      </c>
      <c r="BC114" s="35">
        <f>AW114+AX114</f>
        <v>0</v>
      </c>
      <c r="BD114" s="35">
        <f>H114/(100-BE114)*100</f>
        <v>0</v>
      </c>
      <c r="BE114" s="35">
        <v>0</v>
      </c>
      <c r="BF114" s="35">
        <f>114</f>
        <v>114</v>
      </c>
      <c r="BH114" s="35">
        <f>G114*AO114</f>
        <v>0</v>
      </c>
      <c r="BI114" s="35">
        <f>G114*AP114</f>
        <v>0</v>
      </c>
      <c r="BJ114" s="35">
        <f>G114*H114</f>
        <v>0</v>
      </c>
      <c r="BK114" s="62" t="s">
        <v>135</v>
      </c>
      <c r="BL114" s="35">
        <v>59</v>
      </c>
      <c r="BW114" s="35">
        <v>21</v>
      </c>
      <c r="BX114" s="3" t="s">
        <v>371</v>
      </c>
    </row>
    <row r="115" spans="1:76">
      <c r="A115" s="68"/>
      <c r="D115" s="69" t="s">
        <v>372</v>
      </c>
      <c r="E115" s="70" t="s">
        <v>373</v>
      </c>
      <c r="G115" s="71">
        <v>4.9000000000000004</v>
      </c>
      <c r="K115" s="51"/>
    </row>
    <row r="116" spans="1:76">
      <c r="A116" s="1" t="s">
        <v>374</v>
      </c>
      <c r="B116" s="2" t="s">
        <v>86</v>
      </c>
      <c r="C116" s="2" t="s">
        <v>375</v>
      </c>
      <c r="D116" s="92" t="s">
        <v>376</v>
      </c>
      <c r="E116" s="87"/>
      <c r="F116" s="2" t="s">
        <v>282</v>
      </c>
      <c r="G116" s="35">
        <v>1.6</v>
      </c>
      <c r="H116" s="61">
        <v>0</v>
      </c>
      <c r="I116" s="35">
        <f>ROUND(G116*H116,2)</f>
        <v>0</v>
      </c>
      <c r="K116" s="51"/>
      <c r="Z116" s="35">
        <f>ROUND(IF(AQ116="5",BJ116,0),2)</f>
        <v>0</v>
      </c>
      <c r="AB116" s="35">
        <f>ROUND(IF(AQ116="1",BH116,0),2)</f>
        <v>0</v>
      </c>
      <c r="AC116" s="35">
        <f>ROUND(IF(AQ116="1",BI116,0),2)</f>
        <v>0</v>
      </c>
      <c r="AD116" s="35">
        <f>ROUND(IF(AQ116="7",BH116,0),2)</f>
        <v>0</v>
      </c>
      <c r="AE116" s="35">
        <f>ROUND(IF(AQ116="7",BI116,0),2)</f>
        <v>0</v>
      </c>
      <c r="AF116" s="35">
        <f>ROUND(IF(AQ116="2",BH116,0),2)</f>
        <v>0</v>
      </c>
      <c r="AG116" s="35">
        <f>ROUND(IF(AQ116="2",BI116,0),2)</f>
        <v>0</v>
      </c>
      <c r="AH116" s="35">
        <f>ROUND(IF(AQ116="0",BJ116,0),2)</f>
        <v>0</v>
      </c>
      <c r="AI116" s="46" t="s">
        <v>86</v>
      </c>
      <c r="AJ116" s="35">
        <f>IF(AN116=0,I116,0)</f>
        <v>0</v>
      </c>
      <c r="AK116" s="35">
        <f>IF(AN116=12,I116,0)</f>
        <v>0</v>
      </c>
      <c r="AL116" s="35">
        <f>IF(AN116=21,I116,0)</f>
        <v>0</v>
      </c>
      <c r="AN116" s="35">
        <v>21</v>
      </c>
      <c r="AO116" s="35">
        <f>H116*0.055100701</f>
        <v>0</v>
      </c>
      <c r="AP116" s="35">
        <f>H116*(1-0.055100701)</f>
        <v>0</v>
      </c>
      <c r="AQ116" s="62" t="s">
        <v>127</v>
      </c>
      <c r="AV116" s="35">
        <f>ROUND(AW116+AX116,2)</f>
        <v>0</v>
      </c>
      <c r="AW116" s="35">
        <f>ROUND(G116*AO116,2)</f>
        <v>0</v>
      </c>
      <c r="AX116" s="35">
        <f>ROUND(G116*AP116,2)</f>
        <v>0</v>
      </c>
      <c r="AY116" s="62" t="s">
        <v>354</v>
      </c>
      <c r="AZ116" s="62" t="s">
        <v>314</v>
      </c>
      <c r="BA116" s="46" t="s">
        <v>195</v>
      </c>
      <c r="BC116" s="35">
        <f>AW116+AX116</f>
        <v>0</v>
      </c>
      <c r="BD116" s="35">
        <f>H116/(100-BE116)*100</f>
        <v>0</v>
      </c>
      <c r="BE116" s="35">
        <v>0</v>
      </c>
      <c r="BF116" s="35">
        <f>116</f>
        <v>116</v>
      </c>
      <c r="BH116" s="35">
        <f>G116*AO116</f>
        <v>0</v>
      </c>
      <c r="BI116" s="35">
        <f>G116*AP116</f>
        <v>0</v>
      </c>
      <c r="BJ116" s="35">
        <f>G116*H116</f>
        <v>0</v>
      </c>
      <c r="BK116" s="62" t="s">
        <v>135</v>
      </c>
      <c r="BL116" s="35">
        <v>59</v>
      </c>
      <c r="BW116" s="35">
        <v>21</v>
      </c>
      <c r="BX116" s="3" t="s">
        <v>376</v>
      </c>
    </row>
    <row r="117" spans="1:76">
      <c r="A117" s="1" t="s">
        <v>349</v>
      </c>
      <c r="B117" s="2" t="s">
        <v>86</v>
      </c>
      <c r="C117" s="2" t="s">
        <v>377</v>
      </c>
      <c r="D117" s="92" t="s">
        <v>378</v>
      </c>
      <c r="E117" s="87"/>
      <c r="F117" s="2" t="s">
        <v>192</v>
      </c>
      <c r="G117" s="35">
        <v>11.5</v>
      </c>
      <c r="H117" s="61">
        <v>0</v>
      </c>
      <c r="I117" s="35">
        <f>ROUND(G117*H117,2)</f>
        <v>0</v>
      </c>
      <c r="K117" s="51"/>
      <c r="Z117" s="35">
        <f>ROUND(IF(AQ117="5",BJ117,0),2)</f>
        <v>0</v>
      </c>
      <c r="AB117" s="35">
        <f>ROUND(IF(AQ117="1",BH117,0),2)</f>
        <v>0</v>
      </c>
      <c r="AC117" s="35">
        <f>ROUND(IF(AQ117="1",BI117,0),2)</f>
        <v>0</v>
      </c>
      <c r="AD117" s="35">
        <f>ROUND(IF(AQ117="7",BH117,0),2)</f>
        <v>0</v>
      </c>
      <c r="AE117" s="35">
        <f>ROUND(IF(AQ117="7",BI117,0),2)</f>
        <v>0</v>
      </c>
      <c r="AF117" s="35">
        <f>ROUND(IF(AQ117="2",BH117,0),2)</f>
        <v>0</v>
      </c>
      <c r="AG117" s="35">
        <f>ROUND(IF(AQ117="2",BI117,0),2)</f>
        <v>0</v>
      </c>
      <c r="AH117" s="35">
        <f>ROUND(IF(AQ117="0",BJ117,0),2)</f>
        <v>0</v>
      </c>
      <c r="AI117" s="46" t="s">
        <v>86</v>
      </c>
      <c r="AJ117" s="35">
        <f>IF(AN117=0,I117,0)</f>
        <v>0</v>
      </c>
      <c r="AK117" s="35">
        <f>IF(AN117=12,I117,0)</f>
        <v>0</v>
      </c>
      <c r="AL117" s="35">
        <f>IF(AN117=21,I117,0)</f>
        <v>0</v>
      </c>
      <c r="AN117" s="35">
        <v>21</v>
      </c>
      <c r="AO117" s="35">
        <f>H117*0.144922665</f>
        <v>0</v>
      </c>
      <c r="AP117" s="35">
        <f>H117*(1-0.144922665)</f>
        <v>0</v>
      </c>
      <c r="AQ117" s="62" t="s">
        <v>127</v>
      </c>
      <c r="AV117" s="35">
        <f>ROUND(AW117+AX117,2)</f>
        <v>0</v>
      </c>
      <c r="AW117" s="35">
        <f>ROUND(G117*AO117,2)</f>
        <v>0</v>
      </c>
      <c r="AX117" s="35">
        <f>ROUND(G117*AP117,2)</f>
        <v>0</v>
      </c>
      <c r="AY117" s="62" t="s">
        <v>354</v>
      </c>
      <c r="AZ117" s="62" t="s">
        <v>314</v>
      </c>
      <c r="BA117" s="46" t="s">
        <v>195</v>
      </c>
      <c r="BC117" s="35">
        <f>AW117+AX117</f>
        <v>0</v>
      </c>
      <c r="BD117" s="35">
        <f>H117/(100-BE117)*100</f>
        <v>0</v>
      </c>
      <c r="BE117" s="35">
        <v>0</v>
      </c>
      <c r="BF117" s="35">
        <f>117</f>
        <v>117</v>
      </c>
      <c r="BH117" s="35">
        <f>G117*AO117</f>
        <v>0</v>
      </c>
      <c r="BI117" s="35">
        <f>G117*AP117</f>
        <v>0</v>
      </c>
      <c r="BJ117" s="35">
        <f>G117*H117</f>
        <v>0</v>
      </c>
      <c r="BK117" s="62" t="s">
        <v>135</v>
      </c>
      <c r="BL117" s="35">
        <v>59</v>
      </c>
      <c r="BW117" s="35">
        <v>21</v>
      </c>
      <c r="BX117" s="3" t="s">
        <v>378</v>
      </c>
    </row>
    <row r="118" spans="1:76">
      <c r="A118" s="68"/>
      <c r="D118" s="69" t="s">
        <v>379</v>
      </c>
      <c r="E118" s="70" t="s">
        <v>380</v>
      </c>
      <c r="G118" s="71">
        <v>11.5</v>
      </c>
      <c r="K118" s="51"/>
    </row>
    <row r="119" spans="1:76">
      <c r="A119" s="1" t="s">
        <v>381</v>
      </c>
      <c r="B119" s="2" t="s">
        <v>86</v>
      </c>
      <c r="C119" s="2" t="s">
        <v>382</v>
      </c>
      <c r="D119" s="92" t="s">
        <v>383</v>
      </c>
      <c r="E119" s="87"/>
      <c r="F119" s="2" t="s">
        <v>282</v>
      </c>
      <c r="G119" s="35">
        <v>13.5</v>
      </c>
      <c r="H119" s="61">
        <v>0</v>
      </c>
      <c r="I119" s="35">
        <f>ROUND(G119*H119,2)</f>
        <v>0</v>
      </c>
      <c r="K119" s="51"/>
      <c r="Z119" s="35">
        <f>ROUND(IF(AQ119="5",BJ119,0),2)</f>
        <v>0</v>
      </c>
      <c r="AB119" s="35">
        <f>ROUND(IF(AQ119="1",BH119,0),2)</f>
        <v>0</v>
      </c>
      <c r="AC119" s="35">
        <f>ROUND(IF(AQ119="1",BI119,0),2)</f>
        <v>0</v>
      </c>
      <c r="AD119" s="35">
        <f>ROUND(IF(AQ119="7",BH119,0),2)</f>
        <v>0</v>
      </c>
      <c r="AE119" s="35">
        <f>ROUND(IF(AQ119="7",BI119,0),2)</f>
        <v>0</v>
      </c>
      <c r="AF119" s="35">
        <f>ROUND(IF(AQ119="2",BH119,0),2)</f>
        <v>0</v>
      </c>
      <c r="AG119" s="35">
        <f>ROUND(IF(AQ119="2",BI119,0),2)</f>
        <v>0</v>
      </c>
      <c r="AH119" s="35">
        <f>ROUND(IF(AQ119="0",BJ119,0),2)</f>
        <v>0</v>
      </c>
      <c r="AI119" s="46" t="s">
        <v>86</v>
      </c>
      <c r="AJ119" s="35">
        <f>IF(AN119=0,I119,0)</f>
        <v>0</v>
      </c>
      <c r="AK119" s="35">
        <f>IF(AN119=12,I119,0)</f>
        <v>0</v>
      </c>
      <c r="AL119" s="35">
        <f>IF(AN119=21,I119,0)</f>
        <v>0</v>
      </c>
      <c r="AN119" s="35">
        <v>21</v>
      </c>
      <c r="AO119" s="35">
        <f>H119*0.05475793</f>
        <v>0</v>
      </c>
      <c r="AP119" s="35">
        <f>H119*(1-0.05475793)</f>
        <v>0</v>
      </c>
      <c r="AQ119" s="62" t="s">
        <v>127</v>
      </c>
      <c r="AV119" s="35">
        <f>ROUND(AW119+AX119,2)</f>
        <v>0</v>
      </c>
      <c r="AW119" s="35">
        <f>ROUND(G119*AO119,2)</f>
        <v>0</v>
      </c>
      <c r="AX119" s="35">
        <f>ROUND(G119*AP119,2)</f>
        <v>0</v>
      </c>
      <c r="AY119" s="62" t="s">
        <v>354</v>
      </c>
      <c r="AZ119" s="62" t="s">
        <v>314</v>
      </c>
      <c r="BA119" s="46" t="s">
        <v>195</v>
      </c>
      <c r="BC119" s="35">
        <f>AW119+AX119</f>
        <v>0</v>
      </c>
      <c r="BD119" s="35">
        <f>H119/(100-BE119)*100</f>
        <v>0</v>
      </c>
      <c r="BE119" s="35">
        <v>0</v>
      </c>
      <c r="BF119" s="35">
        <f>119</f>
        <v>119</v>
      </c>
      <c r="BH119" s="35">
        <f>G119*AO119</f>
        <v>0</v>
      </c>
      <c r="BI119" s="35">
        <f>G119*AP119</f>
        <v>0</v>
      </c>
      <c r="BJ119" s="35">
        <f>G119*H119</f>
        <v>0</v>
      </c>
      <c r="BK119" s="62" t="s">
        <v>135</v>
      </c>
      <c r="BL119" s="35">
        <v>59</v>
      </c>
      <c r="BW119" s="35">
        <v>21</v>
      </c>
      <c r="BX119" s="3" t="s">
        <v>383</v>
      </c>
    </row>
    <row r="120" spans="1:76">
      <c r="A120" s="1" t="s">
        <v>384</v>
      </c>
      <c r="B120" s="2" t="s">
        <v>86</v>
      </c>
      <c r="C120" s="2" t="s">
        <v>385</v>
      </c>
      <c r="D120" s="92" t="s">
        <v>386</v>
      </c>
      <c r="E120" s="87"/>
      <c r="F120" s="2" t="s">
        <v>192</v>
      </c>
      <c r="G120" s="35">
        <v>529.27800000000002</v>
      </c>
      <c r="H120" s="61">
        <v>0</v>
      </c>
      <c r="I120" s="35">
        <f>ROUND(G120*H120,2)</f>
        <v>0</v>
      </c>
      <c r="K120" s="51"/>
      <c r="Z120" s="35">
        <f>ROUND(IF(AQ120="5",BJ120,0),2)</f>
        <v>0</v>
      </c>
      <c r="AB120" s="35">
        <f>ROUND(IF(AQ120="1",BH120,0),2)</f>
        <v>0</v>
      </c>
      <c r="AC120" s="35">
        <f>ROUND(IF(AQ120="1",BI120,0),2)</f>
        <v>0</v>
      </c>
      <c r="AD120" s="35">
        <f>ROUND(IF(AQ120="7",BH120,0),2)</f>
        <v>0</v>
      </c>
      <c r="AE120" s="35">
        <f>ROUND(IF(AQ120="7",BI120,0),2)</f>
        <v>0</v>
      </c>
      <c r="AF120" s="35">
        <f>ROUND(IF(AQ120="2",BH120,0),2)</f>
        <v>0</v>
      </c>
      <c r="AG120" s="35">
        <f>ROUND(IF(AQ120="2",BI120,0),2)</f>
        <v>0</v>
      </c>
      <c r="AH120" s="35">
        <f>ROUND(IF(AQ120="0",BJ120,0),2)</f>
        <v>0</v>
      </c>
      <c r="AI120" s="46" t="s">
        <v>86</v>
      </c>
      <c r="AJ120" s="35">
        <f>IF(AN120=0,I120,0)</f>
        <v>0</v>
      </c>
      <c r="AK120" s="35">
        <f>IF(AN120=12,I120,0)</f>
        <v>0</v>
      </c>
      <c r="AL120" s="35">
        <f>IF(AN120=21,I120,0)</f>
        <v>0</v>
      </c>
      <c r="AN120" s="35">
        <v>21</v>
      </c>
      <c r="AO120" s="35">
        <f>H120*1</f>
        <v>0</v>
      </c>
      <c r="AP120" s="35">
        <f>H120*(1-1)</f>
        <v>0</v>
      </c>
      <c r="AQ120" s="62" t="s">
        <v>127</v>
      </c>
      <c r="AV120" s="35">
        <f>ROUND(AW120+AX120,2)</f>
        <v>0</v>
      </c>
      <c r="AW120" s="35">
        <f>ROUND(G120*AO120,2)</f>
        <v>0</v>
      </c>
      <c r="AX120" s="35">
        <f>ROUND(G120*AP120,2)</f>
        <v>0</v>
      </c>
      <c r="AY120" s="62" t="s">
        <v>354</v>
      </c>
      <c r="AZ120" s="62" t="s">
        <v>314</v>
      </c>
      <c r="BA120" s="46" t="s">
        <v>195</v>
      </c>
      <c r="BC120" s="35">
        <f>AW120+AX120</f>
        <v>0</v>
      </c>
      <c r="BD120" s="35">
        <f>H120/(100-BE120)*100</f>
        <v>0</v>
      </c>
      <c r="BE120" s="35">
        <v>0</v>
      </c>
      <c r="BF120" s="35">
        <f>120</f>
        <v>120</v>
      </c>
      <c r="BH120" s="35">
        <f>G120*AO120</f>
        <v>0</v>
      </c>
      <c r="BI120" s="35">
        <f>G120*AP120</f>
        <v>0</v>
      </c>
      <c r="BJ120" s="35">
        <f>G120*H120</f>
        <v>0</v>
      </c>
      <c r="BK120" s="62" t="s">
        <v>277</v>
      </c>
      <c r="BL120" s="35">
        <v>59</v>
      </c>
      <c r="BW120" s="35">
        <v>21</v>
      </c>
      <c r="BX120" s="3" t="s">
        <v>386</v>
      </c>
    </row>
    <row r="121" spans="1:76">
      <c r="A121" s="68"/>
      <c r="D121" s="69" t="s">
        <v>387</v>
      </c>
      <c r="E121" s="70" t="s">
        <v>380</v>
      </c>
      <c r="G121" s="71">
        <v>529.27800000000002</v>
      </c>
      <c r="K121" s="51"/>
    </row>
    <row r="122" spans="1:76">
      <c r="A122" s="1" t="s">
        <v>388</v>
      </c>
      <c r="B122" s="2" t="s">
        <v>86</v>
      </c>
      <c r="C122" s="2" t="s">
        <v>389</v>
      </c>
      <c r="D122" s="92" t="s">
        <v>390</v>
      </c>
      <c r="E122" s="87"/>
      <c r="F122" s="2" t="s">
        <v>192</v>
      </c>
      <c r="G122" s="35">
        <v>11.016</v>
      </c>
      <c r="H122" s="61">
        <v>0</v>
      </c>
      <c r="I122" s="35">
        <f>ROUND(G122*H122,2)</f>
        <v>0</v>
      </c>
      <c r="K122" s="51"/>
      <c r="Z122" s="35">
        <f>ROUND(IF(AQ122="5",BJ122,0),2)</f>
        <v>0</v>
      </c>
      <c r="AB122" s="35">
        <f>ROUND(IF(AQ122="1",BH122,0),2)</f>
        <v>0</v>
      </c>
      <c r="AC122" s="35">
        <f>ROUND(IF(AQ122="1",BI122,0),2)</f>
        <v>0</v>
      </c>
      <c r="AD122" s="35">
        <f>ROUND(IF(AQ122="7",BH122,0),2)</f>
        <v>0</v>
      </c>
      <c r="AE122" s="35">
        <f>ROUND(IF(AQ122="7",BI122,0),2)</f>
        <v>0</v>
      </c>
      <c r="AF122" s="35">
        <f>ROUND(IF(AQ122="2",BH122,0),2)</f>
        <v>0</v>
      </c>
      <c r="AG122" s="35">
        <f>ROUND(IF(AQ122="2",BI122,0),2)</f>
        <v>0</v>
      </c>
      <c r="AH122" s="35">
        <f>ROUND(IF(AQ122="0",BJ122,0),2)</f>
        <v>0</v>
      </c>
      <c r="AI122" s="46" t="s">
        <v>86</v>
      </c>
      <c r="AJ122" s="35">
        <f>IF(AN122=0,I122,0)</f>
        <v>0</v>
      </c>
      <c r="AK122" s="35">
        <f>IF(AN122=12,I122,0)</f>
        <v>0</v>
      </c>
      <c r="AL122" s="35">
        <f>IF(AN122=21,I122,0)</f>
        <v>0</v>
      </c>
      <c r="AN122" s="35">
        <v>21</v>
      </c>
      <c r="AO122" s="35">
        <f>H122*1</f>
        <v>0</v>
      </c>
      <c r="AP122" s="35">
        <f>H122*(1-1)</f>
        <v>0</v>
      </c>
      <c r="AQ122" s="62" t="s">
        <v>127</v>
      </c>
      <c r="AV122" s="35">
        <f>ROUND(AW122+AX122,2)</f>
        <v>0</v>
      </c>
      <c r="AW122" s="35">
        <f>ROUND(G122*AO122,2)</f>
        <v>0</v>
      </c>
      <c r="AX122" s="35">
        <f>ROUND(G122*AP122,2)</f>
        <v>0</v>
      </c>
      <c r="AY122" s="62" t="s">
        <v>354</v>
      </c>
      <c r="AZ122" s="62" t="s">
        <v>314</v>
      </c>
      <c r="BA122" s="46" t="s">
        <v>195</v>
      </c>
      <c r="BC122" s="35">
        <f>AW122+AX122</f>
        <v>0</v>
      </c>
      <c r="BD122" s="35">
        <f>H122/(100-BE122)*100</f>
        <v>0</v>
      </c>
      <c r="BE122" s="35">
        <v>0</v>
      </c>
      <c r="BF122" s="35">
        <f>122</f>
        <v>122</v>
      </c>
      <c r="BH122" s="35">
        <f>G122*AO122</f>
        <v>0</v>
      </c>
      <c r="BI122" s="35">
        <f>G122*AP122</f>
        <v>0</v>
      </c>
      <c r="BJ122" s="35">
        <f>G122*H122</f>
        <v>0</v>
      </c>
      <c r="BK122" s="62" t="s">
        <v>277</v>
      </c>
      <c r="BL122" s="35">
        <v>59</v>
      </c>
      <c r="BW122" s="35">
        <v>21</v>
      </c>
      <c r="BX122" s="3" t="s">
        <v>390</v>
      </c>
    </row>
    <row r="123" spans="1:76">
      <c r="A123" s="68"/>
      <c r="D123" s="69" t="s">
        <v>391</v>
      </c>
      <c r="E123" s="70" t="s">
        <v>365</v>
      </c>
      <c r="G123" s="71">
        <v>3.468</v>
      </c>
      <c r="K123" s="51"/>
    </row>
    <row r="124" spans="1:76">
      <c r="A124" s="68"/>
      <c r="D124" s="69" t="s">
        <v>392</v>
      </c>
      <c r="E124" s="70" t="s">
        <v>365</v>
      </c>
      <c r="G124" s="71">
        <v>7.548</v>
      </c>
      <c r="K124" s="51"/>
    </row>
    <row r="125" spans="1:76">
      <c r="A125" s="1" t="s">
        <v>393</v>
      </c>
      <c r="B125" s="2" t="s">
        <v>86</v>
      </c>
      <c r="C125" s="2" t="s">
        <v>394</v>
      </c>
      <c r="D125" s="92" t="s">
        <v>395</v>
      </c>
      <c r="E125" s="87"/>
      <c r="F125" s="2" t="s">
        <v>192</v>
      </c>
      <c r="G125" s="35">
        <v>8.67</v>
      </c>
      <c r="H125" s="61">
        <v>0</v>
      </c>
      <c r="I125" s="35">
        <f>ROUND(G125*H125,2)</f>
        <v>0</v>
      </c>
      <c r="K125" s="51"/>
      <c r="Z125" s="35">
        <f>ROUND(IF(AQ125="5",BJ125,0),2)</f>
        <v>0</v>
      </c>
      <c r="AB125" s="35">
        <f>ROUND(IF(AQ125="1",BH125,0),2)</f>
        <v>0</v>
      </c>
      <c r="AC125" s="35">
        <f>ROUND(IF(AQ125="1",BI125,0),2)</f>
        <v>0</v>
      </c>
      <c r="AD125" s="35">
        <f>ROUND(IF(AQ125="7",BH125,0),2)</f>
        <v>0</v>
      </c>
      <c r="AE125" s="35">
        <f>ROUND(IF(AQ125="7",BI125,0),2)</f>
        <v>0</v>
      </c>
      <c r="AF125" s="35">
        <f>ROUND(IF(AQ125="2",BH125,0),2)</f>
        <v>0</v>
      </c>
      <c r="AG125" s="35">
        <f>ROUND(IF(AQ125="2",BI125,0),2)</f>
        <v>0</v>
      </c>
      <c r="AH125" s="35">
        <f>ROUND(IF(AQ125="0",BJ125,0),2)</f>
        <v>0</v>
      </c>
      <c r="AI125" s="46" t="s">
        <v>86</v>
      </c>
      <c r="AJ125" s="35">
        <f>IF(AN125=0,I125,0)</f>
        <v>0</v>
      </c>
      <c r="AK125" s="35">
        <f>IF(AN125=12,I125,0)</f>
        <v>0</v>
      </c>
      <c r="AL125" s="35">
        <f>IF(AN125=21,I125,0)</f>
        <v>0</v>
      </c>
      <c r="AN125" s="35">
        <v>21</v>
      </c>
      <c r="AO125" s="35">
        <f>H125*1</f>
        <v>0</v>
      </c>
      <c r="AP125" s="35">
        <f>H125*(1-1)</f>
        <v>0</v>
      </c>
      <c r="AQ125" s="62" t="s">
        <v>127</v>
      </c>
      <c r="AV125" s="35">
        <f>ROUND(AW125+AX125,2)</f>
        <v>0</v>
      </c>
      <c r="AW125" s="35">
        <f>ROUND(G125*AO125,2)</f>
        <v>0</v>
      </c>
      <c r="AX125" s="35">
        <f>ROUND(G125*AP125,2)</f>
        <v>0</v>
      </c>
      <c r="AY125" s="62" t="s">
        <v>354</v>
      </c>
      <c r="AZ125" s="62" t="s">
        <v>314</v>
      </c>
      <c r="BA125" s="46" t="s">
        <v>195</v>
      </c>
      <c r="BC125" s="35">
        <f>AW125+AX125</f>
        <v>0</v>
      </c>
      <c r="BD125" s="35">
        <f>H125/(100-BE125)*100</f>
        <v>0</v>
      </c>
      <c r="BE125" s="35">
        <v>0</v>
      </c>
      <c r="BF125" s="35">
        <f>125</f>
        <v>125</v>
      </c>
      <c r="BH125" s="35">
        <f>G125*AO125</f>
        <v>0</v>
      </c>
      <c r="BI125" s="35">
        <f>G125*AP125</f>
        <v>0</v>
      </c>
      <c r="BJ125" s="35">
        <f>G125*H125</f>
        <v>0</v>
      </c>
      <c r="BK125" s="62" t="s">
        <v>277</v>
      </c>
      <c r="BL125" s="35">
        <v>59</v>
      </c>
      <c r="BW125" s="35">
        <v>21</v>
      </c>
      <c r="BX125" s="3" t="s">
        <v>395</v>
      </c>
    </row>
    <row r="126" spans="1:76">
      <c r="A126" s="68"/>
      <c r="D126" s="69" t="s">
        <v>396</v>
      </c>
      <c r="E126" s="70" t="s">
        <v>363</v>
      </c>
      <c r="G126" s="71">
        <v>8.67</v>
      </c>
      <c r="K126" s="51"/>
    </row>
    <row r="127" spans="1:76">
      <c r="A127" s="1" t="s">
        <v>397</v>
      </c>
      <c r="B127" s="2" t="s">
        <v>86</v>
      </c>
      <c r="C127" s="2" t="s">
        <v>398</v>
      </c>
      <c r="D127" s="92" t="s">
        <v>399</v>
      </c>
      <c r="E127" s="87"/>
      <c r="F127" s="2" t="s">
        <v>192</v>
      </c>
      <c r="G127" s="35">
        <v>4.9980000000000002</v>
      </c>
      <c r="H127" s="61">
        <v>0</v>
      </c>
      <c r="I127" s="35">
        <f>ROUND(G127*H127,2)</f>
        <v>0</v>
      </c>
      <c r="K127" s="51"/>
      <c r="Z127" s="35">
        <f>ROUND(IF(AQ127="5",BJ127,0),2)</f>
        <v>0</v>
      </c>
      <c r="AB127" s="35">
        <f>ROUND(IF(AQ127="1",BH127,0),2)</f>
        <v>0</v>
      </c>
      <c r="AC127" s="35">
        <f>ROUND(IF(AQ127="1",BI127,0),2)</f>
        <v>0</v>
      </c>
      <c r="AD127" s="35">
        <f>ROUND(IF(AQ127="7",BH127,0),2)</f>
        <v>0</v>
      </c>
      <c r="AE127" s="35">
        <f>ROUND(IF(AQ127="7",BI127,0),2)</f>
        <v>0</v>
      </c>
      <c r="AF127" s="35">
        <f>ROUND(IF(AQ127="2",BH127,0),2)</f>
        <v>0</v>
      </c>
      <c r="AG127" s="35">
        <f>ROUND(IF(AQ127="2",BI127,0),2)</f>
        <v>0</v>
      </c>
      <c r="AH127" s="35">
        <f>ROUND(IF(AQ127="0",BJ127,0),2)</f>
        <v>0</v>
      </c>
      <c r="AI127" s="46" t="s">
        <v>86</v>
      </c>
      <c r="AJ127" s="35">
        <f>IF(AN127=0,I127,0)</f>
        <v>0</v>
      </c>
      <c r="AK127" s="35">
        <f>IF(AN127=12,I127,0)</f>
        <v>0</v>
      </c>
      <c r="AL127" s="35">
        <f>IF(AN127=21,I127,0)</f>
        <v>0</v>
      </c>
      <c r="AN127" s="35">
        <v>21</v>
      </c>
      <c r="AO127" s="35">
        <f>H127*1</f>
        <v>0</v>
      </c>
      <c r="AP127" s="35">
        <f>H127*(1-1)</f>
        <v>0</v>
      </c>
      <c r="AQ127" s="62" t="s">
        <v>127</v>
      </c>
      <c r="AV127" s="35">
        <f>ROUND(AW127+AX127,2)</f>
        <v>0</v>
      </c>
      <c r="AW127" s="35">
        <f>ROUND(G127*AO127,2)</f>
        <v>0</v>
      </c>
      <c r="AX127" s="35">
        <f>ROUND(G127*AP127,2)</f>
        <v>0</v>
      </c>
      <c r="AY127" s="62" t="s">
        <v>354</v>
      </c>
      <c r="AZ127" s="62" t="s">
        <v>314</v>
      </c>
      <c r="BA127" s="46" t="s">
        <v>195</v>
      </c>
      <c r="BC127" s="35">
        <f>AW127+AX127</f>
        <v>0</v>
      </c>
      <c r="BD127" s="35">
        <f>H127/(100-BE127)*100</f>
        <v>0</v>
      </c>
      <c r="BE127" s="35">
        <v>0</v>
      </c>
      <c r="BF127" s="35">
        <f>127</f>
        <v>127</v>
      </c>
      <c r="BH127" s="35">
        <f>G127*AO127</f>
        <v>0</v>
      </c>
      <c r="BI127" s="35">
        <f>G127*AP127</f>
        <v>0</v>
      </c>
      <c r="BJ127" s="35">
        <f>G127*H127</f>
        <v>0</v>
      </c>
      <c r="BK127" s="62" t="s">
        <v>277</v>
      </c>
      <c r="BL127" s="35">
        <v>59</v>
      </c>
      <c r="BW127" s="35">
        <v>21</v>
      </c>
      <c r="BX127" s="3" t="s">
        <v>399</v>
      </c>
    </row>
    <row r="128" spans="1:76">
      <c r="A128" s="68"/>
      <c r="D128" s="69" t="s">
        <v>400</v>
      </c>
      <c r="E128" s="70" t="s">
        <v>401</v>
      </c>
      <c r="G128" s="71">
        <v>4.9980000000000002</v>
      </c>
      <c r="K128" s="51"/>
    </row>
    <row r="129" spans="1:76">
      <c r="A129" s="1" t="s">
        <v>402</v>
      </c>
      <c r="B129" s="2" t="s">
        <v>86</v>
      </c>
      <c r="C129" s="2" t="s">
        <v>403</v>
      </c>
      <c r="D129" s="92" t="s">
        <v>404</v>
      </c>
      <c r="E129" s="87"/>
      <c r="F129" s="2" t="s">
        <v>192</v>
      </c>
      <c r="G129" s="35">
        <v>11.73</v>
      </c>
      <c r="H129" s="61">
        <v>0</v>
      </c>
      <c r="I129" s="35">
        <f>ROUND(G129*H129,2)</f>
        <v>0</v>
      </c>
      <c r="K129" s="51"/>
      <c r="Z129" s="35">
        <f>ROUND(IF(AQ129="5",BJ129,0),2)</f>
        <v>0</v>
      </c>
      <c r="AB129" s="35">
        <f>ROUND(IF(AQ129="1",BH129,0),2)</f>
        <v>0</v>
      </c>
      <c r="AC129" s="35">
        <f>ROUND(IF(AQ129="1",BI129,0),2)</f>
        <v>0</v>
      </c>
      <c r="AD129" s="35">
        <f>ROUND(IF(AQ129="7",BH129,0),2)</f>
        <v>0</v>
      </c>
      <c r="AE129" s="35">
        <f>ROUND(IF(AQ129="7",BI129,0),2)</f>
        <v>0</v>
      </c>
      <c r="AF129" s="35">
        <f>ROUND(IF(AQ129="2",BH129,0),2)</f>
        <v>0</v>
      </c>
      <c r="AG129" s="35">
        <f>ROUND(IF(AQ129="2",BI129,0),2)</f>
        <v>0</v>
      </c>
      <c r="AH129" s="35">
        <f>ROUND(IF(AQ129="0",BJ129,0),2)</f>
        <v>0</v>
      </c>
      <c r="AI129" s="46" t="s">
        <v>86</v>
      </c>
      <c r="AJ129" s="35">
        <f>IF(AN129=0,I129,0)</f>
        <v>0</v>
      </c>
      <c r="AK129" s="35">
        <f>IF(AN129=12,I129,0)</f>
        <v>0</v>
      </c>
      <c r="AL129" s="35">
        <f>IF(AN129=21,I129,0)</f>
        <v>0</v>
      </c>
      <c r="AN129" s="35">
        <v>21</v>
      </c>
      <c r="AO129" s="35">
        <f>H129*1</f>
        <v>0</v>
      </c>
      <c r="AP129" s="35">
        <f>H129*(1-1)</f>
        <v>0</v>
      </c>
      <c r="AQ129" s="62" t="s">
        <v>127</v>
      </c>
      <c r="AV129" s="35">
        <f>ROUND(AW129+AX129,2)</f>
        <v>0</v>
      </c>
      <c r="AW129" s="35">
        <f>ROUND(G129*AO129,2)</f>
        <v>0</v>
      </c>
      <c r="AX129" s="35">
        <f>ROUND(G129*AP129,2)</f>
        <v>0</v>
      </c>
      <c r="AY129" s="62" t="s">
        <v>354</v>
      </c>
      <c r="AZ129" s="62" t="s">
        <v>314</v>
      </c>
      <c r="BA129" s="46" t="s">
        <v>195</v>
      </c>
      <c r="BC129" s="35">
        <f>AW129+AX129</f>
        <v>0</v>
      </c>
      <c r="BD129" s="35">
        <f>H129/(100-BE129)*100</f>
        <v>0</v>
      </c>
      <c r="BE129" s="35">
        <v>0</v>
      </c>
      <c r="BF129" s="35">
        <f>129</f>
        <v>129</v>
      </c>
      <c r="BH129" s="35">
        <f>G129*AO129</f>
        <v>0</v>
      </c>
      <c r="BI129" s="35">
        <f>G129*AP129</f>
        <v>0</v>
      </c>
      <c r="BJ129" s="35">
        <f>G129*H129</f>
        <v>0</v>
      </c>
      <c r="BK129" s="62" t="s">
        <v>277</v>
      </c>
      <c r="BL129" s="35">
        <v>59</v>
      </c>
      <c r="BW129" s="35">
        <v>21</v>
      </c>
      <c r="BX129" s="3" t="s">
        <v>404</v>
      </c>
    </row>
    <row r="130" spans="1:76">
      <c r="A130" s="68"/>
      <c r="D130" s="69" t="s">
        <v>405</v>
      </c>
      <c r="E130" s="70" t="s">
        <v>4</v>
      </c>
      <c r="G130" s="71">
        <v>11.73</v>
      </c>
      <c r="K130" s="51"/>
    </row>
    <row r="131" spans="1:76">
      <c r="A131" s="1" t="s">
        <v>406</v>
      </c>
      <c r="B131" s="2" t="s">
        <v>86</v>
      </c>
      <c r="C131" s="2" t="s">
        <v>407</v>
      </c>
      <c r="D131" s="92" t="s">
        <v>408</v>
      </c>
      <c r="E131" s="87"/>
      <c r="F131" s="2" t="s">
        <v>282</v>
      </c>
      <c r="G131" s="35">
        <v>12</v>
      </c>
      <c r="H131" s="61">
        <v>0</v>
      </c>
      <c r="I131" s="35">
        <f>ROUND(G131*H131,2)</f>
        <v>0</v>
      </c>
      <c r="K131" s="51"/>
      <c r="Z131" s="35">
        <f>ROUND(IF(AQ131="5",BJ131,0),2)</f>
        <v>0</v>
      </c>
      <c r="AB131" s="35">
        <f>ROUND(IF(AQ131="1",BH131,0),2)</f>
        <v>0</v>
      </c>
      <c r="AC131" s="35">
        <f>ROUND(IF(AQ131="1",BI131,0),2)</f>
        <v>0</v>
      </c>
      <c r="AD131" s="35">
        <f>ROUND(IF(AQ131="7",BH131,0),2)</f>
        <v>0</v>
      </c>
      <c r="AE131" s="35">
        <f>ROUND(IF(AQ131="7",BI131,0),2)</f>
        <v>0</v>
      </c>
      <c r="AF131" s="35">
        <f>ROUND(IF(AQ131="2",BH131,0),2)</f>
        <v>0</v>
      </c>
      <c r="AG131" s="35">
        <f>ROUND(IF(AQ131="2",BI131,0),2)</f>
        <v>0</v>
      </c>
      <c r="AH131" s="35">
        <f>ROUND(IF(AQ131="0",BJ131,0),2)</f>
        <v>0</v>
      </c>
      <c r="AI131" s="46" t="s">
        <v>86</v>
      </c>
      <c r="AJ131" s="35">
        <f>IF(AN131=0,I131,0)</f>
        <v>0</v>
      </c>
      <c r="AK131" s="35">
        <f>IF(AN131=12,I131,0)</f>
        <v>0</v>
      </c>
      <c r="AL131" s="35">
        <f>IF(AN131=21,I131,0)</f>
        <v>0</v>
      </c>
      <c r="AN131" s="35">
        <v>21</v>
      </c>
      <c r="AO131" s="35">
        <f>H131*0.35802918</f>
        <v>0</v>
      </c>
      <c r="AP131" s="35">
        <f>H131*(1-0.35802918)</f>
        <v>0</v>
      </c>
      <c r="AQ131" s="62" t="s">
        <v>127</v>
      </c>
      <c r="AV131" s="35">
        <f>ROUND(AW131+AX131,2)</f>
        <v>0</v>
      </c>
      <c r="AW131" s="35">
        <f>ROUND(G131*AO131,2)</f>
        <v>0</v>
      </c>
      <c r="AX131" s="35">
        <f>ROUND(G131*AP131,2)</f>
        <v>0</v>
      </c>
      <c r="AY131" s="62" t="s">
        <v>354</v>
      </c>
      <c r="AZ131" s="62" t="s">
        <v>314</v>
      </c>
      <c r="BA131" s="46" t="s">
        <v>195</v>
      </c>
      <c r="BC131" s="35">
        <f>AW131+AX131</f>
        <v>0</v>
      </c>
      <c r="BD131" s="35">
        <f>H131/(100-BE131)*100</f>
        <v>0</v>
      </c>
      <c r="BE131" s="35">
        <v>0</v>
      </c>
      <c r="BF131" s="35">
        <f>131</f>
        <v>131</v>
      </c>
      <c r="BH131" s="35">
        <f>G131*AO131</f>
        <v>0</v>
      </c>
      <c r="BI131" s="35">
        <f>G131*AP131</f>
        <v>0</v>
      </c>
      <c r="BJ131" s="35">
        <f>G131*H131</f>
        <v>0</v>
      </c>
      <c r="BK131" s="62" t="s">
        <v>135</v>
      </c>
      <c r="BL131" s="35">
        <v>59</v>
      </c>
      <c r="BW131" s="35">
        <v>21</v>
      </c>
      <c r="BX131" s="3" t="s">
        <v>408</v>
      </c>
    </row>
    <row r="132" spans="1:76">
      <c r="A132" s="68"/>
      <c r="D132" s="69" t="s">
        <v>164</v>
      </c>
      <c r="E132" s="70" t="s">
        <v>365</v>
      </c>
      <c r="G132" s="71">
        <v>12</v>
      </c>
      <c r="K132" s="51"/>
    </row>
    <row r="133" spans="1:76">
      <c r="A133" s="1" t="s">
        <v>409</v>
      </c>
      <c r="B133" s="2" t="s">
        <v>86</v>
      </c>
      <c r="C133" s="2" t="s">
        <v>410</v>
      </c>
      <c r="D133" s="92" t="s">
        <v>411</v>
      </c>
      <c r="E133" s="87"/>
      <c r="F133" s="2" t="s">
        <v>192</v>
      </c>
      <c r="G133" s="35">
        <v>75.75</v>
      </c>
      <c r="H133" s="61">
        <v>0</v>
      </c>
      <c r="I133" s="35">
        <f>ROUND(G133*H133,2)</f>
        <v>0</v>
      </c>
      <c r="K133" s="51"/>
      <c r="Z133" s="35">
        <f>ROUND(IF(AQ133="5",BJ133,0),2)</f>
        <v>0</v>
      </c>
      <c r="AB133" s="35">
        <f>ROUND(IF(AQ133="1",BH133,0),2)</f>
        <v>0</v>
      </c>
      <c r="AC133" s="35">
        <f>ROUND(IF(AQ133="1",BI133,0),2)</f>
        <v>0</v>
      </c>
      <c r="AD133" s="35">
        <f>ROUND(IF(AQ133="7",BH133,0),2)</f>
        <v>0</v>
      </c>
      <c r="AE133" s="35">
        <f>ROUND(IF(AQ133="7",BI133,0),2)</f>
        <v>0</v>
      </c>
      <c r="AF133" s="35">
        <f>ROUND(IF(AQ133="2",BH133,0),2)</f>
        <v>0</v>
      </c>
      <c r="AG133" s="35">
        <f>ROUND(IF(AQ133="2",BI133,0),2)</f>
        <v>0</v>
      </c>
      <c r="AH133" s="35">
        <f>ROUND(IF(AQ133="0",BJ133,0),2)</f>
        <v>0</v>
      </c>
      <c r="AI133" s="46" t="s">
        <v>86</v>
      </c>
      <c r="AJ133" s="35">
        <f>IF(AN133=0,I133,0)</f>
        <v>0</v>
      </c>
      <c r="AK133" s="35">
        <f>IF(AN133=12,I133,0)</f>
        <v>0</v>
      </c>
      <c r="AL133" s="35">
        <f>IF(AN133=21,I133,0)</f>
        <v>0</v>
      </c>
      <c r="AN133" s="35">
        <v>21</v>
      </c>
      <c r="AO133" s="35">
        <f>H133*0.849464308</f>
        <v>0</v>
      </c>
      <c r="AP133" s="35">
        <f>H133*(1-0.849464308)</f>
        <v>0</v>
      </c>
      <c r="AQ133" s="62" t="s">
        <v>127</v>
      </c>
      <c r="AV133" s="35">
        <f>ROUND(AW133+AX133,2)</f>
        <v>0</v>
      </c>
      <c r="AW133" s="35">
        <f>ROUND(G133*AO133,2)</f>
        <v>0</v>
      </c>
      <c r="AX133" s="35">
        <f>ROUND(G133*AP133,2)</f>
        <v>0</v>
      </c>
      <c r="AY133" s="62" t="s">
        <v>354</v>
      </c>
      <c r="AZ133" s="62" t="s">
        <v>314</v>
      </c>
      <c r="BA133" s="46" t="s">
        <v>195</v>
      </c>
      <c r="BC133" s="35">
        <f>AW133+AX133</f>
        <v>0</v>
      </c>
      <c r="BD133" s="35">
        <f>H133/(100-BE133)*100</f>
        <v>0</v>
      </c>
      <c r="BE133" s="35">
        <v>0</v>
      </c>
      <c r="BF133" s="35">
        <f>133</f>
        <v>133</v>
      </c>
      <c r="BH133" s="35">
        <f>G133*AO133</f>
        <v>0</v>
      </c>
      <c r="BI133" s="35">
        <f>G133*AP133</f>
        <v>0</v>
      </c>
      <c r="BJ133" s="35">
        <f>G133*H133</f>
        <v>0</v>
      </c>
      <c r="BK133" s="62" t="s">
        <v>135</v>
      </c>
      <c r="BL133" s="35">
        <v>59</v>
      </c>
      <c r="BW133" s="35">
        <v>21</v>
      </c>
      <c r="BX133" s="3" t="s">
        <v>411</v>
      </c>
    </row>
    <row r="134" spans="1:76">
      <c r="A134" s="68"/>
      <c r="D134" s="69" t="s">
        <v>412</v>
      </c>
      <c r="E134" s="70" t="s">
        <v>4</v>
      </c>
      <c r="G134" s="71">
        <v>75.75</v>
      </c>
      <c r="K134" s="51"/>
    </row>
    <row r="135" spans="1:76">
      <c r="A135" s="57" t="s">
        <v>4</v>
      </c>
      <c r="B135" s="58" t="s">
        <v>86</v>
      </c>
      <c r="C135" s="58" t="s">
        <v>393</v>
      </c>
      <c r="D135" s="174" t="s">
        <v>413</v>
      </c>
      <c r="E135" s="175"/>
      <c r="F135" s="59" t="s">
        <v>79</v>
      </c>
      <c r="G135" s="59" t="s">
        <v>79</v>
      </c>
      <c r="H135" s="60" t="s">
        <v>79</v>
      </c>
      <c r="I135" s="40">
        <f>SUM(I136:I145)</f>
        <v>0</v>
      </c>
      <c r="K135" s="51"/>
      <c r="AI135" s="46" t="s">
        <v>86</v>
      </c>
      <c r="AS135" s="40">
        <f>SUM(AJ136:AJ145)</f>
        <v>0</v>
      </c>
      <c r="AT135" s="40">
        <f>SUM(AK136:AK145)</f>
        <v>0</v>
      </c>
      <c r="AU135" s="40">
        <f>SUM(AL136:AL145)</f>
        <v>0</v>
      </c>
    </row>
    <row r="136" spans="1:76">
      <c r="A136" s="1" t="s">
        <v>414</v>
      </c>
      <c r="B136" s="2" t="s">
        <v>86</v>
      </c>
      <c r="C136" s="2" t="s">
        <v>415</v>
      </c>
      <c r="D136" s="92" t="s">
        <v>416</v>
      </c>
      <c r="E136" s="87"/>
      <c r="F136" s="2" t="s">
        <v>223</v>
      </c>
      <c r="G136" s="35">
        <v>18.3</v>
      </c>
      <c r="H136" s="61">
        <v>0</v>
      </c>
      <c r="I136" s="35">
        <f>ROUND(G136*H136,2)</f>
        <v>0</v>
      </c>
      <c r="K136" s="51"/>
      <c r="Z136" s="35">
        <f>ROUND(IF(AQ136="5",BJ136,0),2)</f>
        <v>0</v>
      </c>
      <c r="AB136" s="35">
        <f>ROUND(IF(AQ136="1",BH136,0),2)</f>
        <v>0</v>
      </c>
      <c r="AC136" s="35">
        <f>ROUND(IF(AQ136="1",BI136,0),2)</f>
        <v>0</v>
      </c>
      <c r="AD136" s="35">
        <f>ROUND(IF(AQ136="7",BH136,0),2)</f>
        <v>0</v>
      </c>
      <c r="AE136" s="35">
        <f>ROUND(IF(AQ136="7",BI136,0),2)</f>
        <v>0</v>
      </c>
      <c r="AF136" s="35">
        <f>ROUND(IF(AQ136="2",BH136,0),2)</f>
        <v>0</v>
      </c>
      <c r="AG136" s="35">
        <f>ROUND(IF(AQ136="2",BI136,0),2)</f>
        <v>0</v>
      </c>
      <c r="AH136" s="35">
        <f>ROUND(IF(AQ136="0",BJ136,0),2)</f>
        <v>0</v>
      </c>
      <c r="AI136" s="46" t="s">
        <v>86</v>
      </c>
      <c r="AJ136" s="35">
        <f>IF(AN136=0,I136,0)</f>
        <v>0</v>
      </c>
      <c r="AK136" s="35">
        <f>IF(AN136=12,I136,0)</f>
        <v>0</v>
      </c>
      <c r="AL136" s="35">
        <f>IF(AN136=21,I136,0)</f>
        <v>0</v>
      </c>
      <c r="AN136" s="35">
        <v>21</v>
      </c>
      <c r="AO136" s="35">
        <f>H136*0.719789424</f>
        <v>0</v>
      </c>
      <c r="AP136" s="35">
        <f>H136*(1-0.719789424)</f>
        <v>0</v>
      </c>
      <c r="AQ136" s="62" t="s">
        <v>127</v>
      </c>
      <c r="AV136" s="35">
        <f>ROUND(AW136+AX136,2)</f>
        <v>0</v>
      </c>
      <c r="AW136" s="35">
        <f>ROUND(G136*AO136,2)</f>
        <v>0</v>
      </c>
      <c r="AX136" s="35">
        <f>ROUND(G136*AP136,2)</f>
        <v>0</v>
      </c>
      <c r="AY136" s="62" t="s">
        <v>417</v>
      </c>
      <c r="AZ136" s="62" t="s">
        <v>418</v>
      </c>
      <c r="BA136" s="46" t="s">
        <v>195</v>
      </c>
      <c r="BC136" s="35">
        <f>AW136+AX136</f>
        <v>0</v>
      </c>
      <c r="BD136" s="35">
        <f>H136/(100-BE136)*100</f>
        <v>0</v>
      </c>
      <c r="BE136" s="35">
        <v>0</v>
      </c>
      <c r="BF136" s="35">
        <f>136</f>
        <v>136</v>
      </c>
      <c r="BH136" s="35">
        <f>G136*AO136</f>
        <v>0</v>
      </c>
      <c r="BI136" s="35">
        <f>G136*AP136</f>
        <v>0</v>
      </c>
      <c r="BJ136" s="35">
        <f>G136*H136</f>
        <v>0</v>
      </c>
      <c r="BK136" s="62" t="s">
        <v>135</v>
      </c>
      <c r="BL136" s="35">
        <v>63</v>
      </c>
      <c r="BW136" s="35">
        <v>21</v>
      </c>
      <c r="BX136" s="3" t="s">
        <v>416</v>
      </c>
    </row>
    <row r="137" spans="1:76">
      <c r="A137" s="68"/>
      <c r="D137" s="69" t="s">
        <v>419</v>
      </c>
      <c r="E137" s="70" t="s">
        <v>420</v>
      </c>
      <c r="G137" s="71">
        <v>18.3</v>
      </c>
      <c r="K137" s="51"/>
    </row>
    <row r="138" spans="1:76">
      <c r="A138" s="1" t="s">
        <v>421</v>
      </c>
      <c r="B138" s="2" t="s">
        <v>86</v>
      </c>
      <c r="C138" s="2" t="s">
        <v>422</v>
      </c>
      <c r="D138" s="92" t="s">
        <v>423</v>
      </c>
      <c r="E138" s="87"/>
      <c r="F138" s="2" t="s">
        <v>223</v>
      </c>
      <c r="G138" s="35">
        <v>18.3</v>
      </c>
      <c r="H138" s="61">
        <v>0</v>
      </c>
      <c r="I138" s="35">
        <f>ROUND(G138*H138,2)</f>
        <v>0</v>
      </c>
      <c r="K138" s="51"/>
      <c r="Z138" s="35">
        <f>ROUND(IF(AQ138="5",BJ138,0),2)</f>
        <v>0</v>
      </c>
      <c r="AB138" s="35">
        <f>ROUND(IF(AQ138="1",BH138,0),2)</f>
        <v>0</v>
      </c>
      <c r="AC138" s="35">
        <f>ROUND(IF(AQ138="1",BI138,0),2)</f>
        <v>0</v>
      </c>
      <c r="AD138" s="35">
        <f>ROUND(IF(AQ138="7",BH138,0),2)</f>
        <v>0</v>
      </c>
      <c r="AE138" s="35">
        <f>ROUND(IF(AQ138="7",BI138,0),2)</f>
        <v>0</v>
      </c>
      <c r="AF138" s="35">
        <f>ROUND(IF(AQ138="2",BH138,0),2)</f>
        <v>0</v>
      </c>
      <c r="AG138" s="35">
        <f>ROUND(IF(AQ138="2",BI138,0),2)</f>
        <v>0</v>
      </c>
      <c r="AH138" s="35">
        <f>ROUND(IF(AQ138="0",BJ138,0),2)</f>
        <v>0</v>
      </c>
      <c r="AI138" s="46" t="s">
        <v>86</v>
      </c>
      <c r="AJ138" s="35">
        <f>IF(AN138=0,I138,0)</f>
        <v>0</v>
      </c>
      <c r="AK138" s="35">
        <f>IF(AN138=12,I138,0)</f>
        <v>0</v>
      </c>
      <c r="AL138" s="35">
        <f>IF(AN138=21,I138,0)</f>
        <v>0</v>
      </c>
      <c r="AN138" s="35">
        <v>21</v>
      </c>
      <c r="AO138" s="35">
        <f>H138*0</f>
        <v>0</v>
      </c>
      <c r="AP138" s="35">
        <f>H138*(1-0)</f>
        <v>0</v>
      </c>
      <c r="AQ138" s="62" t="s">
        <v>127</v>
      </c>
      <c r="AV138" s="35">
        <f>ROUND(AW138+AX138,2)</f>
        <v>0</v>
      </c>
      <c r="AW138" s="35">
        <f>ROUND(G138*AO138,2)</f>
        <v>0</v>
      </c>
      <c r="AX138" s="35">
        <f>ROUND(G138*AP138,2)</f>
        <v>0</v>
      </c>
      <c r="AY138" s="62" t="s">
        <v>417</v>
      </c>
      <c r="AZ138" s="62" t="s">
        <v>418</v>
      </c>
      <c r="BA138" s="46" t="s">
        <v>195</v>
      </c>
      <c r="BC138" s="35">
        <f>AW138+AX138</f>
        <v>0</v>
      </c>
      <c r="BD138" s="35">
        <f>H138/(100-BE138)*100</f>
        <v>0</v>
      </c>
      <c r="BE138" s="35">
        <v>0</v>
      </c>
      <c r="BF138" s="35">
        <f>138</f>
        <v>138</v>
      </c>
      <c r="BH138" s="35">
        <f>G138*AO138</f>
        <v>0</v>
      </c>
      <c r="BI138" s="35">
        <f>G138*AP138</f>
        <v>0</v>
      </c>
      <c r="BJ138" s="35">
        <f>G138*H138</f>
        <v>0</v>
      </c>
      <c r="BK138" s="62" t="s">
        <v>135</v>
      </c>
      <c r="BL138" s="35">
        <v>63</v>
      </c>
      <c r="BW138" s="35">
        <v>21</v>
      </c>
      <c r="BX138" s="3" t="s">
        <v>423</v>
      </c>
    </row>
    <row r="139" spans="1:76">
      <c r="A139" s="1" t="s">
        <v>424</v>
      </c>
      <c r="B139" s="2" t="s">
        <v>86</v>
      </c>
      <c r="C139" s="2" t="s">
        <v>425</v>
      </c>
      <c r="D139" s="92" t="s">
        <v>426</v>
      </c>
      <c r="E139" s="87"/>
      <c r="F139" s="2" t="s">
        <v>192</v>
      </c>
      <c r="G139" s="35">
        <v>3.58</v>
      </c>
      <c r="H139" s="61">
        <v>0</v>
      </c>
      <c r="I139" s="35">
        <f>ROUND(G139*H139,2)</f>
        <v>0</v>
      </c>
      <c r="K139" s="51"/>
      <c r="Z139" s="35">
        <f>ROUND(IF(AQ139="5",BJ139,0),2)</f>
        <v>0</v>
      </c>
      <c r="AB139" s="35">
        <f>ROUND(IF(AQ139="1",BH139,0),2)</f>
        <v>0</v>
      </c>
      <c r="AC139" s="35">
        <f>ROUND(IF(AQ139="1",BI139,0),2)</f>
        <v>0</v>
      </c>
      <c r="AD139" s="35">
        <f>ROUND(IF(AQ139="7",BH139,0),2)</f>
        <v>0</v>
      </c>
      <c r="AE139" s="35">
        <f>ROUND(IF(AQ139="7",BI139,0),2)</f>
        <v>0</v>
      </c>
      <c r="AF139" s="35">
        <f>ROUND(IF(AQ139="2",BH139,0),2)</f>
        <v>0</v>
      </c>
      <c r="AG139" s="35">
        <f>ROUND(IF(AQ139="2",BI139,0),2)</f>
        <v>0</v>
      </c>
      <c r="AH139" s="35">
        <f>ROUND(IF(AQ139="0",BJ139,0),2)</f>
        <v>0</v>
      </c>
      <c r="AI139" s="46" t="s">
        <v>86</v>
      </c>
      <c r="AJ139" s="35">
        <f>IF(AN139=0,I139,0)</f>
        <v>0</v>
      </c>
      <c r="AK139" s="35">
        <f>IF(AN139=12,I139,0)</f>
        <v>0</v>
      </c>
      <c r="AL139" s="35">
        <f>IF(AN139=21,I139,0)</f>
        <v>0</v>
      </c>
      <c r="AN139" s="35">
        <v>21</v>
      </c>
      <c r="AO139" s="35">
        <f>H139*0.43363762</f>
        <v>0</v>
      </c>
      <c r="AP139" s="35">
        <f>H139*(1-0.43363762)</f>
        <v>0</v>
      </c>
      <c r="AQ139" s="62" t="s">
        <v>127</v>
      </c>
      <c r="AV139" s="35">
        <f>ROUND(AW139+AX139,2)</f>
        <v>0</v>
      </c>
      <c r="AW139" s="35">
        <f>ROUND(G139*AO139,2)</f>
        <v>0</v>
      </c>
      <c r="AX139" s="35">
        <f>ROUND(G139*AP139,2)</f>
        <v>0</v>
      </c>
      <c r="AY139" s="62" t="s">
        <v>417</v>
      </c>
      <c r="AZ139" s="62" t="s">
        <v>418</v>
      </c>
      <c r="BA139" s="46" t="s">
        <v>195</v>
      </c>
      <c r="BC139" s="35">
        <f>AW139+AX139</f>
        <v>0</v>
      </c>
      <c r="BD139" s="35">
        <f>H139/(100-BE139)*100</f>
        <v>0</v>
      </c>
      <c r="BE139" s="35">
        <v>0</v>
      </c>
      <c r="BF139" s="35">
        <f>139</f>
        <v>139</v>
      </c>
      <c r="BH139" s="35">
        <f>G139*AO139</f>
        <v>0</v>
      </c>
      <c r="BI139" s="35">
        <f>G139*AP139</f>
        <v>0</v>
      </c>
      <c r="BJ139" s="35">
        <f>G139*H139</f>
        <v>0</v>
      </c>
      <c r="BK139" s="62" t="s">
        <v>135</v>
      </c>
      <c r="BL139" s="35">
        <v>63</v>
      </c>
      <c r="BW139" s="35">
        <v>21</v>
      </c>
      <c r="BX139" s="3" t="s">
        <v>426</v>
      </c>
    </row>
    <row r="140" spans="1:76">
      <c r="A140" s="68"/>
      <c r="D140" s="69" t="s">
        <v>427</v>
      </c>
      <c r="E140" s="70" t="s">
        <v>4</v>
      </c>
      <c r="G140" s="71">
        <v>3.58</v>
      </c>
      <c r="K140" s="51"/>
    </row>
    <row r="141" spans="1:76">
      <c r="A141" s="1" t="s">
        <v>428</v>
      </c>
      <c r="B141" s="2" t="s">
        <v>86</v>
      </c>
      <c r="C141" s="2" t="s">
        <v>429</v>
      </c>
      <c r="D141" s="92" t="s">
        <v>430</v>
      </c>
      <c r="E141" s="87"/>
      <c r="F141" s="2" t="s">
        <v>192</v>
      </c>
      <c r="G141" s="35">
        <v>3.58</v>
      </c>
      <c r="H141" s="61">
        <v>0</v>
      </c>
      <c r="I141" s="35">
        <f>ROUND(G141*H141,2)</f>
        <v>0</v>
      </c>
      <c r="K141" s="51"/>
      <c r="Z141" s="35">
        <f>ROUND(IF(AQ141="5",BJ141,0),2)</f>
        <v>0</v>
      </c>
      <c r="AB141" s="35">
        <f>ROUND(IF(AQ141="1",BH141,0),2)</f>
        <v>0</v>
      </c>
      <c r="AC141" s="35">
        <f>ROUND(IF(AQ141="1",BI141,0),2)</f>
        <v>0</v>
      </c>
      <c r="AD141" s="35">
        <f>ROUND(IF(AQ141="7",BH141,0),2)</f>
        <v>0</v>
      </c>
      <c r="AE141" s="35">
        <f>ROUND(IF(AQ141="7",BI141,0),2)</f>
        <v>0</v>
      </c>
      <c r="AF141" s="35">
        <f>ROUND(IF(AQ141="2",BH141,0),2)</f>
        <v>0</v>
      </c>
      <c r="AG141" s="35">
        <f>ROUND(IF(AQ141="2",BI141,0),2)</f>
        <v>0</v>
      </c>
      <c r="AH141" s="35">
        <f>ROUND(IF(AQ141="0",BJ141,0),2)</f>
        <v>0</v>
      </c>
      <c r="AI141" s="46" t="s">
        <v>86</v>
      </c>
      <c r="AJ141" s="35">
        <f>IF(AN141=0,I141,0)</f>
        <v>0</v>
      </c>
      <c r="AK141" s="35">
        <f>IF(AN141=12,I141,0)</f>
        <v>0</v>
      </c>
      <c r="AL141" s="35">
        <f>IF(AN141=21,I141,0)</f>
        <v>0</v>
      </c>
      <c r="AN141" s="35">
        <v>21</v>
      </c>
      <c r="AO141" s="35">
        <f>H141*0</f>
        <v>0</v>
      </c>
      <c r="AP141" s="35">
        <f>H141*(1-0)</f>
        <v>0</v>
      </c>
      <c r="AQ141" s="62" t="s">
        <v>127</v>
      </c>
      <c r="AV141" s="35">
        <f>ROUND(AW141+AX141,2)</f>
        <v>0</v>
      </c>
      <c r="AW141" s="35">
        <f>ROUND(G141*AO141,2)</f>
        <v>0</v>
      </c>
      <c r="AX141" s="35">
        <f>ROUND(G141*AP141,2)</f>
        <v>0</v>
      </c>
      <c r="AY141" s="62" t="s">
        <v>417</v>
      </c>
      <c r="AZ141" s="62" t="s">
        <v>418</v>
      </c>
      <c r="BA141" s="46" t="s">
        <v>195</v>
      </c>
      <c r="BC141" s="35">
        <f>AW141+AX141</f>
        <v>0</v>
      </c>
      <c r="BD141" s="35">
        <f>H141/(100-BE141)*100</f>
        <v>0</v>
      </c>
      <c r="BE141" s="35">
        <v>0</v>
      </c>
      <c r="BF141" s="35">
        <f>141</f>
        <v>141</v>
      </c>
      <c r="BH141" s="35">
        <f>G141*AO141</f>
        <v>0</v>
      </c>
      <c r="BI141" s="35">
        <f>G141*AP141</f>
        <v>0</v>
      </c>
      <c r="BJ141" s="35">
        <f>G141*H141</f>
        <v>0</v>
      </c>
      <c r="BK141" s="62" t="s">
        <v>135</v>
      </c>
      <c r="BL141" s="35">
        <v>63</v>
      </c>
      <c r="BW141" s="35">
        <v>21</v>
      </c>
      <c r="BX141" s="3" t="s">
        <v>430</v>
      </c>
    </row>
    <row r="142" spans="1:76">
      <c r="A142" s="1" t="s">
        <v>229</v>
      </c>
      <c r="B142" s="2" t="s">
        <v>86</v>
      </c>
      <c r="C142" s="2" t="s">
        <v>431</v>
      </c>
      <c r="D142" s="92" t="s">
        <v>432</v>
      </c>
      <c r="E142" s="87"/>
      <c r="F142" s="2" t="s">
        <v>223</v>
      </c>
      <c r="G142" s="35">
        <v>11.363</v>
      </c>
      <c r="H142" s="61">
        <v>0</v>
      </c>
      <c r="I142" s="35">
        <f>ROUND(G142*H142,2)</f>
        <v>0</v>
      </c>
      <c r="K142" s="51"/>
      <c r="Z142" s="35">
        <f>ROUND(IF(AQ142="5",BJ142,0),2)</f>
        <v>0</v>
      </c>
      <c r="AB142" s="35">
        <f>ROUND(IF(AQ142="1",BH142,0),2)</f>
        <v>0</v>
      </c>
      <c r="AC142" s="35">
        <f>ROUND(IF(AQ142="1",BI142,0),2)</f>
        <v>0</v>
      </c>
      <c r="AD142" s="35">
        <f>ROUND(IF(AQ142="7",BH142,0),2)</f>
        <v>0</v>
      </c>
      <c r="AE142" s="35">
        <f>ROUND(IF(AQ142="7",BI142,0),2)</f>
        <v>0</v>
      </c>
      <c r="AF142" s="35">
        <f>ROUND(IF(AQ142="2",BH142,0),2)</f>
        <v>0</v>
      </c>
      <c r="AG142" s="35">
        <f>ROUND(IF(AQ142="2",BI142,0),2)</f>
        <v>0</v>
      </c>
      <c r="AH142" s="35">
        <f>ROUND(IF(AQ142="0",BJ142,0),2)</f>
        <v>0</v>
      </c>
      <c r="AI142" s="46" t="s">
        <v>86</v>
      </c>
      <c r="AJ142" s="35">
        <f>IF(AN142=0,I142,0)</f>
        <v>0</v>
      </c>
      <c r="AK142" s="35">
        <f>IF(AN142=12,I142,0)</f>
        <v>0</v>
      </c>
      <c r="AL142" s="35">
        <f>IF(AN142=21,I142,0)</f>
        <v>0</v>
      </c>
      <c r="AN142" s="35">
        <v>21</v>
      </c>
      <c r="AO142" s="35">
        <f>H142*0.765724611</f>
        <v>0</v>
      </c>
      <c r="AP142" s="35">
        <f>H142*(1-0.765724611)</f>
        <v>0</v>
      </c>
      <c r="AQ142" s="62" t="s">
        <v>127</v>
      </c>
      <c r="AV142" s="35">
        <f>ROUND(AW142+AX142,2)</f>
        <v>0</v>
      </c>
      <c r="AW142" s="35">
        <f>ROUND(G142*AO142,2)</f>
        <v>0</v>
      </c>
      <c r="AX142" s="35">
        <f>ROUND(G142*AP142,2)</f>
        <v>0</v>
      </c>
      <c r="AY142" s="62" t="s">
        <v>417</v>
      </c>
      <c r="AZ142" s="62" t="s">
        <v>418</v>
      </c>
      <c r="BA142" s="46" t="s">
        <v>195</v>
      </c>
      <c r="BC142" s="35">
        <f>AW142+AX142</f>
        <v>0</v>
      </c>
      <c r="BD142" s="35">
        <f>H142/(100-BE142)*100</f>
        <v>0</v>
      </c>
      <c r="BE142" s="35">
        <v>0</v>
      </c>
      <c r="BF142" s="35">
        <f>142</f>
        <v>142</v>
      </c>
      <c r="BH142" s="35">
        <f>G142*AO142</f>
        <v>0</v>
      </c>
      <c r="BI142" s="35">
        <f>G142*AP142</f>
        <v>0</v>
      </c>
      <c r="BJ142" s="35">
        <f>G142*H142</f>
        <v>0</v>
      </c>
      <c r="BK142" s="62" t="s">
        <v>135</v>
      </c>
      <c r="BL142" s="35">
        <v>63</v>
      </c>
      <c r="BW142" s="35">
        <v>21</v>
      </c>
      <c r="BX142" s="3" t="s">
        <v>432</v>
      </c>
    </row>
    <row r="143" spans="1:76">
      <c r="A143" s="68"/>
      <c r="D143" s="69" t="s">
        <v>433</v>
      </c>
      <c r="E143" s="70" t="s">
        <v>434</v>
      </c>
      <c r="G143" s="71">
        <v>11.363</v>
      </c>
      <c r="K143" s="51"/>
    </row>
    <row r="144" spans="1:76">
      <c r="A144" s="1" t="s">
        <v>435</v>
      </c>
      <c r="B144" s="2" t="s">
        <v>86</v>
      </c>
      <c r="C144" s="2" t="s">
        <v>436</v>
      </c>
      <c r="D144" s="92" t="s">
        <v>437</v>
      </c>
      <c r="E144" s="87"/>
      <c r="F144" s="2" t="s">
        <v>223</v>
      </c>
      <c r="G144" s="35">
        <v>11.363</v>
      </c>
      <c r="H144" s="61">
        <v>0</v>
      </c>
      <c r="I144" s="35">
        <f>ROUND(G144*H144,2)</f>
        <v>0</v>
      </c>
      <c r="K144" s="51"/>
      <c r="Z144" s="35">
        <f>ROUND(IF(AQ144="5",BJ144,0),2)</f>
        <v>0</v>
      </c>
      <c r="AB144" s="35">
        <f>ROUND(IF(AQ144="1",BH144,0),2)</f>
        <v>0</v>
      </c>
      <c r="AC144" s="35">
        <f>ROUND(IF(AQ144="1",BI144,0),2)</f>
        <v>0</v>
      </c>
      <c r="AD144" s="35">
        <f>ROUND(IF(AQ144="7",BH144,0),2)</f>
        <v>0</v>
      </c>
      <c r="AE144" s="35">
        <f>ROUND(IF(AQ144="7",BI144,0),2)</f>
        <v>0</v>
      </c>
      <c r="AF144" s="35">
        <f>ROUND(IF(AQ144="2",BH144,0),2)</f>
        <v>0</v>
      </c>
      <c r="AG144" s="35">
        <f>ROUND(IF(AQ144="2",BI144,0),2)</f>
        <v>0</v>
      </c>
      <c r="AH144" s="35">
        <f>ROUND(IF(AQ144="0",BJ144,0),2)</f>
        <v>0</v>
      </c>
      <c r="AI144" s="46" t="s">
        <v>86</v>
      </c>
      <c r="AJ144" s="35">
        <f>IF(AN144=0,I144,0)</f>
        <v>0</v>
      </c>
      <c r="AK144" s="35">
        <f>IF(AN144=12,I144,0)</f>
        <v>0</v>
      </c>
      <c r="AL144" s="35">
        <f>IF(AN144=21,I144,0)</f>
        <v>0</v>
      </c>
      <c r="AN144" s="35">
        <v>21</v>
      </c>
      <c r="AO144" s="35">
        <f>H144*0</f>
        <v>0</v>
      </c>
      <c r="AP144" s="35">
        <f>H144*(1-0)</f>
        <v>0</v>
      </c>
      <c r="AQ144" s="62" t="s">
        <v>127</v>
      </c>
      <c r="AV144" s="35">
        <f>ROUND(AW144+AX144,2)</f>
        <v>0</v>
      </c>
      <c r="AW144" s="35">
        <f>ROUND(G144*AO144,2)</f>
        <v>0</v>
      </c>
      <c r="AX144" s="35">
        <f>ROUND(G144*AP144,2)</f>
        <v>0</v>
      </c>
      <c r="AY144" s="62" t="s">
        <v>417</v>
      </c>
      <c r="AZ144" s="62" t="s">
        <v>418</v>
      </c>
      <c r="BA144" s="46" t="s">
        <v>195</v>
      </c>
      <c r="BC144" s="35">
        <f>AW144+AX144</f>
        <v>0</v>
      </c>
      <c r="BD144" s="35">
        <f>H144/(100-BE144)*100</f>
        <v>0</v>
      </c>
      <c r="BE144" s="35">
        <v>0</v>
      </c>
      <c r="BF144" s="35">
        <f>144</f>
        <v>144</v>
      </c>
      <c r="BH144" s="35">
        <f>G144*AO144</f>
        <v>0</v>
      </c>
      <c r="BI144" s="35">
        <f>G144*AP144</f>
        <v>0</v>
      </c>
      <c r="BJ144" s="35">
        <f>G144*H144</f>
        <v>0</v>
      </c>
      <c r="BK144" s="62" t="s">
        <v>135</v>
      </c>
      <c r="BL144" s="35">
        <v>63</v>
      </c>
      <c r="BW144" s="35">
        <v>21</v>
      </c>
      <c r="BX144" s="3" t="s">
        <v>437</v>
      </c>
    </row>
    <row r="145" spans="1:76">
      <c r="A145" s="1" t="s">
        <v>438</v>
      </c>
      <c r="B145" s="2" t="s">
        <v>86</v>
      </c>
      <c r="C145" s="2" t="s">
        <v>439</v>
      </c>
      <c r="D145" s="92" t="s">
        <v>440</v>
      </c>
      <c r="E145" s="87"/>
      <c r="F145" s="2" t="s">
        <v>192</v>
      </c>
      <c r="G145" s="35">
        <v>3.4</v>
      </c>
      <c r="H145" s="61">
        <v>0</v>
      </c>
      <c r="I145" s="35">
        <f>ROUND(G145*H145,2)</f>
        <v>0</v>
      </c>
      <c r="K145" s="51"/>
      <c r="Z145" s="35">
        <f>ROUND(IF(AQ145="5",BJ145,0),2)</f>
        <v>0</v>
      </c>
      <c r="AB145" s="35">
        <f>ROUND(IF(AQ145="1",BH145,0),2)</f>
        <v>0</v>
      </c>
      <c r="AC145" s="35">
        <f>ROUND(IF(AQ145="1",BI145,0),2)</f>
        <v>0</v>
      </c>
      <c r="AD145" s="35">
        <f>ROUND(IF(AQ145="7",BH145,0),2)</f>
        <v>0</v>
      </c>
      <c r="AE145" s="35">
        <f>ROUND(IF(AQ145="7",BI145,0),2)</f>
        <v>0</v>
      </c>
      <c r="AF145" s="35">
        <f>ROUND(IF(AQ145="2",BH145,0),2)</f>
        <v>0</v>
      </c>
      <c r="AG145" s="35">
        <f>ROUND(IF(AQ145="2",BI145,0),2)</f>
        <v>0</v>
      </c>
      <c r="AH145" s="35">
        <f>ROUND(IF(AQ145="0",BJ145,0),2)</f>
        <v>0</v>
      </c>
      <c r="AI145" s="46" t="s">
        <v>86</v>
      </c>
      <c r="AJ145" s="35">
        <f>IF(AN145=0,I145,0)</f>
        <v>0</v>
      </c>
      <c r="AK145" s="35">
        <f>IF(AN145=12,I145,0)</f>
        <v>0</v>
      </c>
      <c r="AL145" s="35">
        <f>IF(AN145=21,I145,0)</f>
        <v>0</v>
      </c>
      <c r="AN145" s="35">
        <v>21</v>
      </c>
      <c r="AO145" s="35">
        <f>H145*0.89389964</f>
        <v>0</v>
      </c>
      <c r="AP145" s="35">
        <f>H145*(1-0.89389964)</f>
        <v>0</v>
      </c>
      <c r="AQ145" s="62" t="s">
        <v>127</v>
      </c>
      <c r="AV145" s="35">
        <f>ROUND(AW145+AX145,2)</f>
        <v>0</v>
      </c>
      <c r="AW145" s="35">
        <f>ROUND(G145*AO145,2)</f>
        <v>0</v>
      </c>
      <c r="AX145" s="35">
        <f>ROUND(G145*AP145,2)</f>
        <v>0</v>
      </c>
      <c r="AY145" s="62" t="s">
        <v>417</v>
      </c>
      <c r="AZ145" s="62" t="s">
        <v>418</v>
      </c>
      <c r="BA145" s="46" t="s">
        <v>195</v>
      </c>
      <c r="BC145" s="35">
        <f>AW145+AX145</f>
        <v>0</v>
      </c>
      <c r="BD145" s="35">
        <f>H145/(100-BE145)*100</f>
        <v>0</v>
      </c>
      <c r="BE145" s="35">
        <v>0</v>
      </c>
      <c r="BF145" s="35">
        <f>145</f>
        <v>145</v>
      </c>
      <c r="BH145" s="35">
        <f>G145*AO145</f>
        <v>0</v>
      </c>
      <c r="BI145" s="35">
        <f>G145*AP145</f>
        <v>0</v>
      </c>
      <c r="BJ145" s="35">
        <f>G145*H145</f>
        <v>0</v>
      </c>
      <c r="BK145" s="62" t="s">
        <v>135</v>
      </c>
      <c r="BL145" s="35">
        <v>63</v>
      </c>
      <c r="BW145" s="35">
        <v>21</v>
      </c>
      <c r="BX145" s="3" t="s">
        <v>440</v>
      </c>
    </row>
    <row r="146" spans="1:76">
      <c r="A146" s="68"/>
      <c r="D146" s="69" t="s">
        <v>441</v>
      </c>
      <c r="E146" s="70" t="s">
        <v>442</v>
      </c>
      <c r="G146" s="71">
        <v>3.4</v>
      </c>
      <c r="K146" s="51"/>
    </row>
    <row r="147" spans="1:76">
      <c r="A147" s="57" t="s">
        <v>4</v>
      </c>
      <c r="B147" s="58" t="s">
        <v>86</v>
      </c>
      <c r="C147" s="58" t="s">
        <v>443</v>
      </c>
      <c r="D147" s="174" t="s">
        <v>444</v>
      </c>
      <c r="E147" s="175"/>
      <c r="F147" s="59" t="s">
        <v>79</v>
      </c>
      <c r="G147" s="59" t="s">
        <v>79</v>
      </c>
      <c r="H147" s="60" t="s">
        <v>79</v>
      </c>
      <c r="I147" s="40">
        <f>SUM(I148:I179)</f>
        <v>0</v>
      </c>
      <c r="K147" s="51"/>
      <c r="AI147" s="46" t="s">
        <v>86</v>
      </c>
      <c r="AS147" s="40">
        <f>SUM(AJ148:AJ179)</f>
        <v>0</v>
      </c>
      <c r="AT147" s="40">
        <f>SUM(AK148:AK179)</f>
        <v>0</v>
      </c>
      <c r="AU147" s="40">
        <f>SUM(AL148:AL179)</f>
        <v>0</v>
      </c>
    </row>
    <row r="148" spans="1:76">
      <c r="A148" s="1" t="s">
        <v>445</v>
      </c>
      <c r="B148" s="2" t="s">
        <v>86</v>
      </c>
      <c r="C148" s="2" t="s">
        <v>446</v>
      </c>
      <c r="D148" s="92" t="s">
        <v>447</v>
      </c>
      <c r="E148" s="87"/>
      <c r="F148" s="2" t="s">
        <v>282</v>
      </c>
      <c r="G148" s="35">
        <v>602</v>
      </c>
      <c r="H148" s="61">
        <v>0</v>
      </c>
      <c r="I148" s="35">
        <f>ROUND(G148*H148,2)</f>
        <v>0</v>
      </c>
      <c r="K148" s="51"/>
      <c r="Z148" s="35">
        <f>ROUND(IF(AQ148="5",BJ148,0),2)</f>
        <v>0</v>
      </c>
      <c r="AB148" s="35">
        <f>ROUND(IF(AQ148="1",BH148,0),2)</f>
        <v>0</v>
      </c>
      <c r="AC148" s="35">
        <f>ROUND(IF(AQ148="1",BI148,0),2)</f>
        <v>0</v>
      </c>
      <c r="AD148" s="35">
        <f>ROUND(IF(AQ148="7",BH148,0),2)</f>
        <v>0</v>
      </c>
      <c r="AE148" s="35">
        <f>ROUND(IF(AQ148="7",BI148,0),2)</f>
        <v>0</v>
      </c>
      <c r="AF148" s="35">
        <f>ROUND(IF(AQ148="2",BH148,0),2)</f>
        <v>0</v>
      </c>
      <c r="AG148" s="35">
        <f>ROUND(IF(AQ148="2",BI148,0),2)</f>
        <v>0</v>
      </c>
      <c r="AH148" s="35">
        <f>ROUND(IF(AQ148="0",BJ148,0),2)</f>
        <v>0</v>
      </c>
      <c r="AI148" s="46" t="s">
        <v>86</v>
      </c>
      <c r="AJ148" s="35">
        <f>IF(AN148=0,I148,0)</f>
        <v>0</v>
      </c>
      <c r="AK148" s="35">
        <f>IF(AN148=12,I148,0)</f>
        <v>0</v>
      </c>
      <c r="AL148" s="35">
        <f>IF(AN148=21,I148,0)</f>
        <v>0</v>
      </c>
      <c r="AN148" s="35">
        <v>21</v>
      </c>
      <c r="AO148" s="35">
        <f>H148*0.56487395</f>
        <v>0</v>
      </c>
      <c r="AP148" s="35">
        <f>H148*(1-0.56487395)</f>
        <v>0</v>
      </c>
      <c r="AQ148" s="62" t="s">
        <v>127</v>
      </c>
      <c r="AV148" s="35">
        <f>ROUND(AW148+AX148,2)</f>
        <v>0</v>
      </c>
      <c r="AW148" s="35">
        <f>ROUND(G148*AO148,2)</f>
        <v>0</v>
      </c>
      <c r="AX148" s="35">
        <f>ROUND(G148*AP148,2)</f>
        <v>0</v>
      </c>
      <c r="AY148" s="62" t="s">
        <v>448</v>
      </c>
      <c r="AZ148" s="62" t="s">
        <v>449</v>
      </c>
      <c r="BA148" s="46" t="s">
        <v>195</v>
      </c>
      <c r="BC148" s="35">
        <f>AW148+AX148</f>
        <v>0</v>
      </c>
      <c r="BD148" s="35">
        <f>H148/(100-BE148)*100</f>
        <v>0</v>
      </c>
      <c r="BE148" s="35">
        <v>0</v>
      </c>
      <c r="BF148" s="35">
        <f>148</f>
        <v>148</v>
      </c>
      <c r="BH148" s="35">
        <f>G148*AO148</f>
        <v>0</v>
      </c>
      <c r="BI148" s="35">
        <f>G148*AP148</f>
        <v>0</v>
      </c>
      <c r="BJ148" s="35">
        <f>G148*H148</f>
        <v>0</v>
      </c>
      <c r="BK148" s="62" t="s">
        <v>135</v>
      </c>
      <c r="BL148" s="35">
        <v>91</v>
      </c>
      <c r="BW148" s="35">
        <v>21</v>
      </c>
      <c r="BX148" s="3" t="s">
        <v>447</v>
      </c>
    </row>
    <row r="149" spans="1:76">
      <c r="A149" s="68"/>
      <c r="D149" s="69" t="s">
        <v>450</v>
      </c>
      <c r="E149" s="70" t="s">
        <v>200</v>
      </c>
      <c r="G149" s="71">
        <v>299</v>
      </c>
      <c r="K149" s="51"/>
    </row>
    <row r="150" spans="1:76">
      <c r="A150" s="68"/>
      <c r="D150" s="69" t="s">
        <v>451</v>
      </c>
      <c r="E150" s="70" t="s">
        <v>452</v>
      </c>
      <c r="G150" s="71">
        <v>303</v>
      </c>
      <c r="K150" s="51"/>
    </row>
    <row r="151" spans="1:76">
      <c r="A151" s="1" t="s">
        <v>453</v>
      </c>
      <c r="B151" s="2" t="s">
        <v>86</v>
      </c>
      <c r="C151" s="2" t="s">
        <v>454</v>
      </c>
      <c r="D151" s="92" t="s">
        <v>455</v>
      </c>
      <c r="E151" s="87"/>
      <c r="F151" s="2" t="s">
        <v>282</v>
      </c>
      <c r="G151" s="35">
        <v>84.5</v>
      </c>
      <c r="H151" s="61">
        <v>0</v>
      </c>
      <c r="I151" s="35">
        <f>ROUND(G151*H151,2)</f>
        <v>0</v>
      </c>
      <c r="K151" s="51"/>
      <c r="Z151" s="35">
        <f>ROUND(IF(AQ151="5",BJ151,0),2)</f>
        <v>0</v>
      </c>
      <c r="AB151" s="35">
        <f>ROUND(IF(AQ151="1",BH151,0),2)</f>
        <v>0</v>
      </c>
      <c r="AC151" s="35">
        <f>ROUND(IF(AQ151="1",BI151,0),2)</f>
        <v>0</v>
      </c>
      <c r="AD151" s="35">
        <f>ROUND(IF(AQ151="7",BH151,0),2)</f>
        <v>0</v>
      </c>
      <c r="AE151" s="35">
        <f>ROUND(IF(AQ151="7",BI151,0),2)</f>
        <v>0</v>
      </c>
      <c r="AF151" s="35">
        <f>ROUND(IF(AQ151="2",BH151,0),2)</f>
        <v>0</v>
      </c>
      <c r="AG151" s="35">
        <f>ROUND(IF(AQ151="2",BI151,0),2)</f>
        <v>0</v>
      </c>
      <c r="AH151" s="35">
        <f>ROUND(IF(AQ151="0",BJ151,0),2)</f>
        <v>0</v>
      </c>
      <c r="AI151" s="46" t="s">
        <v>86</v>
      </c>
      <c r="AJ151" s="35">
        <f>IF(AN151=0,I151,0)</f>
        <v>0</v>
      </c>
      <c r="AK151" s="35">
        <f>IF(AN151=12,I151,0)</f>
        <v>0</v>
      </c>
      <c r="AL151" s="35">
        <f>IF(AN151=21,I151,0)</f>
        <v>0</v>
      </c>
      <c r="AN151" s="35">
        <v>21</v>
      </c>
      <c r="AO151" s="35">
        <f>H151*0.726016807</f>
        <v>0</v>
      </c>
      <c r="AP151" s="35">
        <f>H151*(1-0.726016807)</f>
        <v>0</v>
      </c>
      <c r="AQ151" s="62" t="s">
        <v>127</v>
      </c>
      <c r="AV151" s="35">
        <f>ROUND(AW151+AX151,2)</f>
        <v>0</v>
      </c>
      <c r="AW151" s="35">
        <f>ROUND(G151*AO151,2)</f>
        <v>0</v>
      </c>
      <c r="AX151" s="35">
        <f>ROUND(G151*AP151,2)</f>
        <v>0</v>
      </c>
      <c r="AY151" s="62" t="s">
        <v>448</v>
      </c>
      <c r="AZ151" s="62" t="s">
        <v>449</v>
      </c>
      <c r="BA151" s="46" t="s">
        <v>195</v>
      </c>
      <c r="BC151" s="35">
        <f>AW151+AX151</f>
        <v>0</v>
      </c>
      <c r="BD151" s="35">
        <f>H151/(100-BE151)*100</f>
        <v>0</v>
      </c>
      <c r="BE151" s="35">
        <v>0</v>
      </c>
      <c r="BF151" s="35">
        <f>151</f>
        <v>151</v>
      </c>
      <c r="BH151" s="35">
        <f>G151*AO151</f>
        <v>0</v>
      </c>
      <c r="BI151" s="35">
        <f>G151*AP151</f>
        <v>0</v>
      </c>
      <c r="BJ151" s="35">
        <f>G151*H151</f>
        <v>0</v>
      </c>
      <c r="BK151" s="62" t="s">
        <v>135</v>
      </c>
      <c r="BL151" s="35">
        <v>91</v>
      </c>
      <c r="BW151" s="35">
        <v>21</v>
      </c>
      <c r="BX151" s="3" t="s">
        <v>455</v>
      </c>
    </row>
    <row r="152" spans="1:76" ht="13.5" customHeight="1">
      <c r="A152" s="68"/>
      <c r="C152" s="72" t="s">
        <v>337</v>
      </c>
      <c r="D152" s="178" t="s">
        <v>456</v>
      </c>
      <c r="E152" s="179"/>
      <c r="F152" s="179"/>
      <c r="G152" s="179"/>
      <c r="H152" s="180"/>
      <c r="I152" s="179"/>
      <c r="J152" s="179"/>
      <c r="K152" s="181"/>
    </row>
    <row r="153" spans="1:76">
      <c r="A153" s="1" t="s">
        <v>457</v>
      </c>
      <c r="B153" s="2" t="s">
        <v>86</v>
      </c>
      <c r="C153" s="2" t="s">
        <v>458</v>
      </c>
      <c r="D153" s="92" t="s">
        <v>459</v>
      </c>
      <c r="E153" s="87"/>
      <c r="F153" s="2" t="s">
        <v>282</v>
      </c>
      <c r="G153" s="35">
        <v>278.5</v>
      </c>
      <c r="H153" s="61">
        <v>0</v>
      </c>
      <c r="I153" s="35">
        <f>ROUND(G153*H153,2)</f>
        <v>0</v>
      </c>
      <c r="K153" s="51"/>
      <c r="Z153" s="35">
        <f>ROUND(IF(AQ153="5",BJ153,0),2)</f>
        <v>0</v>
      </c>
      <c r="AB153" s="35">
        <f>ROUND(IF(AQ153="1",BH153,0),2)</f>
        <v>0</v>
      </c>
      <c r="AC153" s="35">
        <f>ROUND(IF(AQ153="1",BI153,0),2)</f>
        <v>0</v>
      </c>
      <c r="AD153" s="35">
        <f>ROUND(IF(AQ153="7",BH153,0),2)</f>
        <v>0</v>
      </c>
      <c r="AE153" s="35">
        <f>ROUND(IF(AQ153="7",BI153,0),2)</f>
        <v>0</v>
      </c>
      <c r="AF153" s="35">
        <f>ROUND(IF(AQ153="2",BH153,0),2)</f>
        <v>0</v>
      </c>
      <c r="AG153" s="35">
        <f>ROUND(IF(AQ153="2",BI153,0),2)</f>
        <v>0</v>
      </c>
      <c r="AH153" s="35">
        <f>ROUND(IF(AQ153="0",BJ153,0),2)</f>
        <v>0</v>
      </c>
      <c r="AI153" s="46" t="s">
        <v>86</v>
      </c>
      <c r="AJ153" s="35">
        <f>IF(AN153=0,I153,0)</f>
        <v>0</v>
      </c>
      <c r="AK153" s="35">
        <f>IF(AN153=12,I153,0)</f>
        <v>0</v>
      </c>
      <c r="AL153" s="35">
        <f>IF(AN153=21,I153,0)</f>
        <v>0</v>
      </c>
      <c r="AN153" s="35">
        <v>21</v>
      </c>
      <c r="AO153" s="35">
        <f>H153*0.775795796</f>
        <v>0</v>
      </c>
      <c r="AP153" s="35">
        <f>H153*(1-0.775795796)</f>
        <v>0</v>
      </c>
      <c r="AQ153" s="62" t="s">
        <v>127</v>
      </c>
      <c r="AV153" s="35">
        <f>ROUND(AW153+AX153,2)</f>
        <v>0</v>
      </c>
      <c r="AW153" s="35">
        <f>ROUND(G153*AO153,2)</f>
        <v>0</v>
      </c>
      <c r="AX153" s="35">
        <f>ROUND(G153*AP153,2)</f>
        <v>0</v>
      </c>
      <c r="AY153" s="62" t="s">
        <v>448</v>
      </c>
      <c r="AZ153" s="62" t="s">
        <v>449</v>
      </c>
      <c r="BA153" s="46" t="s">
        <v>195</v>
      </c>
      <c r="BC153" s="35">
        <f>AW153+AX153</f>
        <v>0</v>
      </c>
      <c r="BD153" s="35">
        <f>H153/(100-BE153)*100</f>
        <v>0</v>
      </c>
      <c r="BE153" s="35">
        <v>0</v>
      </c>
      <c r="BF153" s="35">
        <f>153</f>
        <v>153</v>
      </c>
      <c r="BH153" s="35">
        <f>G153*AO153</f>
        <v>0</v>
      </c>
      <c r="BI153" s="35">
        <f>G153*AP153</f>
        <v>0</v>
      </c>
      <c r="BJ153" s="35">
        <f>G153*H153</f>
        <v>0</v>
      </c>
      <c r="BK153" s="62" t="s">
        <v>135</v>
      </c>
      <c r="BL153" s="35">
        <v>91</v>
      </c>
      <c r="BW153" s="35">
        <v>21</v>
      </c>
      <c r="BX153" s="3" t="s">
        <v>459</v>
      </c>
    </row>
    <row r="154" spans="1:76" ht="13.5" customHeight="1">
      <c r="A154" s="68"/>
      <c r="C154" s="72" t="s">
        <v>337</v>
      </c>
      <c r="D154" s="178" t="s">
        <v>460</v>
      </c>
      <c r="E154" s="179"/>
      <c r="F154" s="179"/>
      <c r="G154" s="179"/>
      <c r="H154" s="180"/>
      <c r="I154" s="179"/>
      <c r="J154" s="179"/>
      <c r="K154" s="181"/>
    </row>
    <row r="155" spans="1:76">
      <c r="A155" s="1" t="s">
        <v>461</v>
      </c>
      <c r="B155" s="2" t="s">
        <v>86</v>
      </c>
      <c r="C155" s="2" t="s">
        <v>462</v>
      </c>
      <c r="D155" s="92" t="s">
        <v>463</v>
      </c>
      <c r="E155" s="87"/>
      <c r="F155" s="2" t="s">
        <v>282</v>
      </c>
      <c r="G155" s="35">
        <v>7</v>
      </c>
      <c r="H155" s="61">
        <v>0</v>
      </c>
      <c r="I155" s="35">
        <f>ROUND(G155*H155,2)</f>
        <v>0</v>
      </c>
      <c r="K155" s="51"/>
      <c r="Z155" s="35">
        <f>ROUND(IF(AQ155="5",BJ155,0),2)</f>
        <v>0</v>
      </c>
      <c r="AB155" s="35">
        <f>ROUND(IF(AQ155="1",BH155,0),2)</f>
        <v>0</v>
      </c>
      <c r="AC155" s="35">
        <f>ROUND(IF(AQ155="1",BI155,0),2)</f>
        <v>0</v>
      </c>
      <c r="AD155" s="35">
        <f>ROUND(IF(AQ155="7",BH155,0),2)</f>
        <v>0</v>
      </c>
      <c r="AE155" s="35">
        <f>ROUND(IF(AQ155="7",BI155,0),2)</f>
        <v>0</v>
      </c>
      <c r="AF155" s="35">
        <f>ROUND(IF(AQ155="2",BH155,0),2)</f>
        <v>0</v>
      </c>
      <c r="AG155" s="35">
        <f>ROUND(IF(AQ155="2",BI155,0),2)</f>
        <v>0</v>
      </c>
      <c r="AH155" s="35">
        <f>ROUND(IF(AQ155="0",BJ155,0),2)</f>
        <v>0</v>
      </c>
      <c r="AI155" s="46" t="s">
        <v>86</v>
      </c>
      <c r="AJ155" s="35">
        <f>IF(AN155=0,I155,0)</f>
        <v>0</v>
      </c>
      <c r="AK155" s="35">
        <f>IF(AN155=12,I155,0)</f>
        <v>0</v>
      </c>
      <c r="AL155" s="35">
        <f>IF(AN155=21,I155,0)</f>
        <v>0</v>
      </c>
      <c r="AN155" s="35">
        <v>21</v>
      </c>
      <c r="AO155" s="35">
        <f>H155*0.831085973</f>
        <v>0</v>
      </c>
      <c r="AP155" s="35">
        <f>H155*(1-0.831085973)</f>
        <v>0</v>
      </c>
      <c r="AQ155" s="62" t="s">
        <v>127</v>
      </c>
      <c r="AV155" s="35">
        <f>ROUND(AW155+AX155,2)</f>
        <v>0</v>
      </c>
      <c r="AW155" s="35">
        <f>ROUND(G155*AO155,2)</f>
        <v>0</v>
      </c>
      <c r="AX155" s="35">
        <f>ROUND(G155*AP155,2)</f>
        <v>0</v>
      </c>
      <c r="AY155" s="62" t="s">
        <v>448</v>
      </c>
      <c r="AZ155" s="62" t="s">
        <v>449</v>
      </c>
      <c r="BA155" s="46" t="s">
        <v>195</v>
      </c>
      <c r="BC155" s="35">
        <f>AW155+AX155</f>
        <v>0</v>
      </c>
      <c r="BD155" s="35">
        <f>H155/(100-BE155)*100</f>
        <v>0</v>
      </c>
      <c r="BE155" s="35">
        <v>0</v>
      </c>
      <c r="BF155" s="35">
        <f>155</f>
        <v>155</v>
      </c>
      <c r="BH155" s="35">
        <f>G155*AO155</f>
        <v>0</v>
      </c>
      <c r="BI155" s="35">
        <f>G155*AP155</f>
        <v>0</v>
      </c>
      <c r="BJ155" s="35">
        <f>G155*H155</f>
        <v>0</v>
      </c>
      <c r="BK155" s="62" t="s">
        <v>135</v>
      </c>
      <c r="BL155" s="35">
        <v>91</v>
      </c>
      <c r="BW155" s="35">
        <v>21</v>
      </c>
      <c r="BX155" s="3" t="s">
        <v>463</v>
      </c>
    </row>
    <row r="156" spans="1:76" ht="13.5" customHeight="1">
      <c r="A156" s="68"/>
      <c r="C156" s="72" t="s">
        <v>337</v>
      </c>
      <c r="D156" s="178" t="s">
        <v>464</v>
      </c>
      <c r="E156" s="179"/>
      <c r="F156" s="179"/>
      <c r="G156" s="179"/>
      <c r="H156" s="180"/>
      <c r="I156" s="179"/>
      <c r="J156" s="179"/>
      <c r="K156" s="181"/>
    </row>
    <row r="157" spans="1:76">
      <c r="A157" s="1" t="s">
        <v>465</v>
      </c>
      <c r="B157" s="2" t="s">
        <v>86</v>
      </c>
      <c r="C157" s="2" t="s">
        <v>466</v>
      </c>
      <c r="D157" s="92" t="s">
        <v>463</v>
      </c>
      <c r="E157" s="87"/>
      <c r="F157" s="2" t="s">
        <v>282</v>
      </c>
      <c r="G157" s="35">
        <v>18</v>
      </c>
      <c r="H157" s="61">
        <v>0</v>
      </c>
      <c r="I157" s="35">
        <f>ROUND(G157*H157,2)</f>
        <v>0</v>
      </c>
      <c r="K157" s="51"/>
      <c r="Z157" s="35">
        <f>ROUND(IF(AQ157="5",BJ157,0),2)</f>
        <v>0</v>
      </c>
      <c r="AB157" s="35">
        <f>ROUND(IF(AQ157="1",BH157,0),2)</f>
        <v>0</v>
      </c>
      <c r="AC157" s="35">
        <f>ROUND(IF(AQ157="1",BI157,0),2)</f>
        <v>0</v>
      </c>
      <c r="AD157" s="35">
        <f>ROUND(IF(AQ157="7",BH157,0),2)</f>
        <v>0</v>
      </c>
      <c r="AE157" s="35">
        <f>ROUND(IF(AQ157="7",BI157,0),2)</f>
        <v>0</v>
      </c>
      <c r="AF157" s="35">
        <f>ROUND(IF(AQ157="2",BH157,0),2)</f>
        <v>0</v>
      </c>
      <c r="AG157" s="35">
        <f>ROUND(IF(AQ157="2",BI157,0),2)</f>
        <v>0</v>
      </c>
      <c r="AH157" s="35">
        <f>ROUND(IF(AQ157="0",BJ157,0),2)</f>
        <v>0</v>
      </c>
      <c r="AI157" s="46" t="s">
        <v>86</v>
      </c>
      <c r="AJ157" s="35">
        <f>IF(AN157=0,I157,0)</f>
        <v>0</v>
      </c>
      <c r="AK157" s="35">
        <f>IF(AN157=12,I157,0)</f>
        <v>0</v>
      </c>
      <c r="AL157" s="35">
        <f>IF(AN157=21,I157,0)</f>
        <v>0</v>
      </c>
      <c r="AN157" s="35">
        <v>21</v>
      </c>
      <c r="AO157" s="35">
        <f>H157*0.729981917</f>
        <v>0</v>
      </c>
      <c r="AP157" s="35">
        <f>H157*(1-0.729981917)</f>
        <v>0</v>
      </c>
      <c r="AQ157" s="62" t="s">
        <v>127</v>
      </c>
      <c r="AV157" s="35">
        <f>ROUND(AW157+AX157,2)</f>
        <v>0</v>
      </c>
      <c r="AW157" s="35">
        <f>ROUND(G157*AO157,2)</f>
        <v>0</v>
      </c>
      <c r="AX157" s="35">
        <f>ROUND(G157*AP157,2)</f>
        <v>0</v>
      </c>
      <c r="AY157" s="62" t="s">
        <v>448</v>
      </c>
      <c r="AZ157" s="62" t="s">
        <v>449</v>
      </c>
      <c r="BA157" s="46" t="s">
        <v>195</v>
      </c>
      <c r="BC157" s="35">
        <f>AW157+AX157</f>
        <v>0</v>
      </c>
      <c r="BD157" s="35">
        <f>H157/(100-BE157)*100</f>
        <v>0</v>
      </c>
      <c r="BE157" s="35">
        <v>0</v>
      </c>
      <c r="BF157" s="35">
        <f>157</f>
        <v>157</v>
      </c>
      <c r="BH157" s="35">
        <f>G157*AO157</f>
        <v>0</v>
      </c>
      <c r="BI157" s="35">
        <f>G157*AP157</f>
        <v>0</v>
      </c>
      <c r="BJ157" s="35">
        <f>G157*H157</f>
        <v>0</v>
      </c>
      <c r="BK157" s="62" t="s">
        <v>135</v>
      </c>
      <c r="BL157" s="35">
        <v>91</v>
      </c>
      <c r="BW157" s="35">
        <v>21</v>
      </c>
      <c r="BX157" s="3" t="s">
        <v>463</v>
      </c>
    </row>
    <row r="158" spans="1:76" ht="13.5" customHeight="1">
      <c r="A158" s="68"/>
      <c r="C158" s="72" t="s">
        <v>337</v>
      </c>
      <c r="D158" s="178" t="s">
        <v>467</v>
      </c>
      <c r="E158" s="179"/>
      <c r="F158" s="179"/>
      <c r="G158" s="179"/>
      <c r="H158" s="180"/>
      <c r="I158" s="179"/>
      <c r="J158" s="179"/>
      <c r="K158" s="181"/>
    </row>
    <row r="159" spans="1:76">
      <c r="A159" s="1" t="s">
        <v>468</v>
      </c>
      <c r="B159" s="2" t="s">
        <v>86</v>
      </c>
      <c r="C159" s="2" t="s">
        <v>469</v>
      </c>
      <c r="D159" s="92" t="s">
        <v>470</v>
      </c>
      <c r="E159" s="87"/>
      <c r="F159" s="2" t="s">
        <v>282</v>
      </c>
      <c r="G159" s="35">
        <v>3.5</v>
      </c>
      <c r="H159" s="61">
        <v>0</v>
      </c>
      <c r="I159" s="35">
        <f>ROUND(G159*H159,2)</f>
        <v>0</v>
      </c>
      <c r="K159" s="51"/>
      <c r="Z159" s="35">
        <f>ROUND(IF(AQ159="5",BJ159,0),2)</f>
        <v>0</v>
      </c>
      <c r="AB159" s="35">
        <f>ROUND(IF(AQ159="1",BH159,0),2)</f>
        <v>0</v>
      </c>
      <c r="AC159" s="35">
        <f>ROUND(IF(AQ159="1",BI159,0),2)</f>
        <v>0</v>
      </c>
      <c r="AD159" s="35">
        <f>ROUND(IF(AQ159="7",BH159,0),2)</f>
        <v>0</v>
      </c>
      <c r="AE159" s="35">
        <f>ROUND(IF(AQ159="7",BI159,0),2)</f>
        <v>0</v>
      </c>
      <c r="AF159" s="35">
        <f>ROUND(IF(AQ159="2",BH159,0),2)</f>
        <v>0</v>
      </c>
      <c r="AG159" s="35">
        <f>ROUND(IF(AQ159="2",BI159,0),2)</f>
        <v>0</v>
      </c>
      <c r="AH159" s="35">
        <f>ROUND(IF(AQ159="0",BJ159,0),2)</f>
        <v>0</v>
      </c>
      <c r="AI159" s="46" t="s">
        <v>86</v>
      </c>
      <c r="AJ159" s="35">
        <f>IF(AN159=0,I159,0)</f>
        <v>0</v>
      </c>
      <c r="AK159" s="35">
        <f>IF(AN159=12,I159,0)</f>
        <v>0</v>
      </c>
      <c r="AL159" s="35">
        <f>IF(AN159=21,I159,0)</f>
        <v>0</v>
      </c>
      <c r="AN159" s="35">
        <v>21</v>
      </c>
      <c r="AO159" s="35">
        <f>H159*0.610248699</f>
        <v>0</v>
      </c>
      <c r="AP159" s="35">
        <f>H159*(1-0.610248699)</f>
        <v>0</v>
      </c>
      <c r="AQ159" s="62" t="s">
        <v>127</v>
      </c>
      <c r="AV159" s="35">
        <f>ROUND(AW159+AX159,2)</f>
        <v>0</v>
      </c>
      <c r="AW159" s="35">
        <f>ROUND(G159*AO159,2)</f>
        <v>0</v>
      </c>
      <c r="AX159" s="35">
        <f>ROUND(G159*AP159,2)</f>
        <v>0</v>
      </c>
      <c r="AY159" s="62" t="s">
        <v>448</v>
      </c>
      <c r="AZ159" s="62" t="s">
        <v>449</v>
      </c>
      <c r="BA159" s="46" t="s">
        <v>195</v>
      </c>
      <c r="BC159" s="35">
        <f>AW159+AX159</f>
        <v>0</v>
      </c>
      <c r="BD159" s="35">
        <f>H159/(100-BE159)*100</f>
        <v>0</v>
      </c>
      <c r="BE159" s="35">
        <v>0</v>
      </c>
      <c r="BF159" s="35">
        <f>159</f>
        <v>159</v>
      </c>
      <c r="BH159" s="35">
        <f>G159*AO159</f>
        <v>0</v>
      </c>
      <c r="BI159" s="35">
        <f>G159*AP159</f>
        <v>0</v>
      </c>
      <c r="BJ159" s="35">
        <f>G159*H159</f>
        <v>0</v>
      </c>
      <c r="BK159" s="62" t="s">
        <v>135</v>
      </c>
      <c r="BL159" s="35">
        <v>91</v>
      </c>
      <c r="BW159" s="35">
        <v>21</v>
      </c>
      <c r="BX159" s="3" t="s">
        <v>470</v>
      </c>
    </row>
    <row r="160" spans="1:76">
      <c r="A160" s="1" t="s">
        <v>471</v>
      </c>
      <c r="B160" s="2" t="s">
        <v>86</v>
      </c>
      <c r="C160" s="2" t="s">
        <v>472</v>
      </c>
      <c r="D160" s="92" t="s">
        <v>473</v>
      </c>
      <c r="E160" s="87"/>
      <c r="F160" s="2" t="s">
        <v>321</v>
      </c>
      <c r="G160" s="35">
        <v>4</v>
      </c>
      <c r="H160" s="61">
        <v>0</v>
      </c>
      <c r="I160" s="35">
        <f>ROUND(G160*H160,2)</f>
        <v>0</v>
      </c>
      <c r="K160" s="51"/>
      <c r="Z160" s="35">
        <f>ROUND(IF(AQ160="5",BJ160,0),2)</f>
        <v>0</v>
      </c>
      <c r="AB160" s="35">
        <f>ROUND(IF(AQ160="1",BH160,0),2)</f>
        <v>0</v>
      </c>
      <c r="AC160" s="35">
        <f>ROUND(IF(AQ160="1",BI160,0),2)</f>
        <v>0</v>
      </c>
      <c r="AD160" s="35">
        <f>ROUND(IF(AQ160="7",BH160,0),2)</f>
        <v>0</v>
      </c>
      <c r="AE160" s="35">
        <f>ROUND(IF(AQ160="7",BI160,0),2)</f>
        <v>0</v>
      </c>
      <c r="AF160" s="35">
        <f>ROUND(IF(AQ160="2",BH160,0),2)</f>
        <v>0</v>
      </c>
      <c r="AG160" s="35">
        <f>ROUND(IF(AQ160="2",BI160,0),2)</f>
        <v>0</v>
      </c>
      <c r="AH160" s="35">
        <f>ROUND(IF(AQ160="0",BJ160,0),2)</f>
        <v>0</v>
      </c>
      <c r="AI160" s="46" t="s">
        <v>86</v>
      </c>
      <c r="AJ160" s="35">
        <f>IF(AN160=0,I160,0)</f>
        <v>0</v>
      </c>
      <c r="AK160" s="35">
        <f>IF(AN160=12,I160,0)</f>
        <v>0</v>
      </c>
      <c r="AL160" s="35">
        <f>IF(AN160=21,I160,0)</f>
        <v>0</v>
      </c>
      <c r="AN160" s="35">
        <v>21</v>
      </c>
      <c r="AO160" s="35">
        <f>H160*1</f>
        <v>0</v>
      </c>
      <c r="AP160" s="35">
        <f>H160*(1-1)</f>
        <v>0</v>
      </c>
      <c r="AQ160" s="62" t="s">
        <v>127</v>
      </c>
      <c r="AV160" s="35">
        <f>ROUND(AW160+AX160,2)</f>
        <v>0</v>
      </c>
      <c r="AW160" s="35">
        <f>ROUND(G160*AO160,2)</f>
        <v>0</v>
      </c>
      <c r="AX160" s="35">
        <f>ROUND(G160*AP160,2)</f>
        <v>0</v>
      </c>
      <c r="AY160" s="62" t="s">
        <v>448</v>
      </c>
      <c r="AZ160" s="62" t="s">
        <v>449</v>
      </c>
      <c r="BA160" s="46" t="s">
        <v>195</v>
      </c>
      <c r="BC160" s="35">
        <f>AW160+AX160</f>
        <v>0</v>
      </c>
      <c r="BD160" s="35">
        <f>H160/(100-BE160)*100</f>
        <v>0</v>
      </c>
      <c r="BE160" s="35">
        <v>0</v>
      </c>
      <c r="BF160" s="35">
        <f>160</f>
        <v>160</v>
      </c>
      <c r="BH160" s="35">
        <f>G160*AO160</f>
        <v>0</v>
      </c>
      <c r="BI160" s="35">
        <f>G160*AP160</f>
        <v>0</v>
      </c>
      <c r="BJ160" s="35">
        <f>G160*H160</f>
        <v>0</v>
      </c>
      <c r="BK160" s="62" t="s">
        <v>277</v>
      </c>
      <c r="BL160" s="35">
        <v>91</v>
      </c>
      <c r="BW160" s="35">
        <v>21</v>
      </c>
      <c r="BX160" s="3" t="s">
        <v>473</v>
      </c>
    </row>
    <row r="161" spans="1:76">
      <c r="A161" s="1" t="s">
        <v>474</v>
      </c>
      <c r="B161" s="2" t="s">
        <v>86</v>
      </c>
      <c r="C161" s="2" t="s">
        <v>475</v>
      </c>
      <c r="D161" s="92" t="s">
        <v>476</v>
      </c>
      <c r="E161" s="87"/>
      <c r="F161" s="2" t="s">
        <v>321</v>
      </c>
      <c r="G161" s="35">
        <v>1</v>
      </c>
      <c r="H161" s="61">
        <v>0</v>
      </c>
      <c r="I161" s="35">
        <f>ROUND(G161*H161,2)</f>
        <v>0</v>
      </c>
      <c r="K161" s="51"/>
      <c r="Z161" s="35">
        <f>ROUND(IF(AQ161="5",BJ161,0),2)</f>
        <v>0</v>
      </c>
      <c r="AB161" s="35">
        <f>ROUND(IF(AQ161="1",BH161,0),2)</f>
        <v>0</v>
      </c>
      <c r="AC161" s="35">
        <f>ROUND(IF(AQ161="1",BI161,0),2)</f>
        <v>0</v>
      </c>
      <c r="AD161" s="35">
        <f>ROUND(IF(AQ161="7",BH161,0),2)</f>
        <v>0</v>
      </c>
      <c r="AE161" s="35">
        <f>ROUND(IF(AQ161="7",BI161,0),2)</f>
        <v>0</v>
      </c>
      <c r="AF161" s="35">
        <f>ROUND(IF(AQ161="2",BH161,0),2)</f>
        <v>0</v>
      </c>
      <c r="AG161" s="35">
        <f>ROUND(IF(AQ161="2",BI161,0),2)</f>
        <v>0</v>
      </c>
      <c r="AH161" s="35">
        <f>ROUND(IF(AQ161="0",BJ161,0),2)</f>
        <v>0</v>
      </c>
      <c r="AI161" s="46" t="s">
        <v>86</v>
      </c>
      <c r="AJ161" s="35">
        <f>IF(AN161=0,I161,0)</f>
        <v>0</v>
      </c>
      <c r="AK161" s="35">
        <f>IF(AN161=12,I161,0)</f>
        <v>0</v>
      </c>
      <c r="AL161" s="35">
        <f>IF(AN161=21,I161,0)</f>
        <v>0</v>
      </c>
      <c r="AN161" s="35">
        <v>21</v>
      </c>
      <c r="AO161" s="35">
        <f>H161*0.627107172</f>
        <v>0</v>
      </c>
      <c r="AP161" s="35">
        <f>H161*(1-0.627107172)</f>
        <v>0</v>
      </c>
      <c r="AQ161" s="62" t="s">
        <v>127</v>
      </c>
      <c r="AV161" s="35">
        <f>ROUND(AW161+AX161,2)</f>
        <v>0</v>
      </c>
      <c r="AW161" s="35">
        <f>ROUND(G161*AO161,2)</f>
        <v>0</v>
      </c>
      <c r="AX161" s="35">
        <f>ROUND(G161*AP161,2)</f>
        <v>0</v>
      </c>
      <c r="AY161" s="62" t="s">
        <v>448</v>
      </c>
      <c r="AZ161" s="62" t="s">
        <v>449</v>
      </c>
      <c r="BA161" s="46" t="s">
        <v>195</v>
      </c>
      <c r="BC161" s="35">
        <f>AW161+AX161</f>
        <v>0</v>
      </c>
      <c r="BD161" s="35">
        <f>H161/(100-BE161)*100</f>
        <v>0</v>
      </c>
      <c r="BE161" s="35">
        <v>0</v>
      </c>
      <c r="BF161" s="35">
        <f>161</f>
        <v>161</v>
      </c>
      <c r="BH161" s="35">
        <f>G161*AO161</f>
        <v>0</v>
      </c>
      <c r="BI161" s="35">
        <f>G161*AP161</f>
        <v>0</v>
      </c>
      <c r="BJ161" s="35">
        <f>G161*H161</f>
        <v>0</v>
      </c>
      <c r="BK161" s="62" t="s">
        <v>135</v>
      </c>
      <c r="BL161" s="35">
        <v>91</v>
      </c>
      <c r="BW161" s="35">
        <v>21</v>
      </c>
      <c r="BX161" s="3" t="s">
        <v>476</v>
      </c>
    </row>
    <row r="162" spans="1:76">
      <c r="A162" s="68"/>
      <c r="D162" s="69" t="s">
        <v>127</v>
      </c>
      <c r="E162" s="70" t="s">
        <v>477</v>
      </c>
      <c r="G162" s="71">
        <v>1</v>
      </c>
      <c r="K162" s="51"/>
    </row>
    <row r="163" spans="1:76">
      <c r="A163" s="1" t="s">
        <v>478</v>
      </c>
      <c r="B163" s="2" t="s">
        <v>86</v>
      </c>
      <c r="C163" s="2" t="s">
        <v>479</v>
      </c>
      <c r="D163" s="92" t="s">
        <v>480</v>
      </c>
      <c r="E163" s="87"/>
      <c r="F163" s="2" t="s">
        <v>321</v>
      </c>
      <c r="G163" s="35">
        <v>1</v>
      </c>
      <c r="H163" s="61">
        <v>0</v>
      </c>
      <c r="I163" s="35">
        <f>ROUND(G163*H163,2)</f>
        <v>0</v>
      </c>
      <c r="K163" s="51"/>
      <c r="Z163" s="35">
        <f>ROUND(IF(AQ163="5",BJ163,0),2)</f>
        <v>0</v>
      </c>
      <c r="AB163" s="35">
        <f>ROUND(IF(AQ163="1",BH163,0),2)</f>
        <v>0</v>
      </c>
      <c r="AC163" s="35">
        <f>ROUND(IF(AQ163="1",BI163,0),2)</f>
        <v>0</v>
      </c>
      <c r="AD163" s="35">
        <f>ROUND(IF(AQ163="7",BH163,0),2)</f>
        <v>0</v>
      </c>
      <c r="AE163" s="35">
        <f>ROUND(IF(AQ163="7",BI163,0),2)</f>
        <v>0</v>
      </c>
      <c r="AF163" s="35">
        <f>ROUND(IF(AQ163="2",BH163,0),2)</f>
        <v>0</v>
      </c>
      <c r="AG163" s="35">
        <f>ROUND(IF(AQ163="2",BI163,0),2)</f>
        <v>0</v>
      </c>
      <c r="AH163" s="35">
        <f>ROUND(IF(AQ163="0",BJ163,0),2)</f>
        <v>0</v>
      </c>
      <c r="AI163" s="46" t="s">
        <v>86</v>
      </c>
      <c r="AJ163" s="35">
        <f>IF(AN163=0,I163,0)</f>
        <v>0</v>
      </c>
      <c r="AK163" s="35">
        <f>IF(AN163=12,I163,0)</f>
        <v>0</v>
      </c>
      <c r="AL163" s="35">
        <f>IF(AN163=21,I163,0)</f>
        <v>0</v>
      </c>
      <c r="AN163" s="35">
        <v>21</v>
      </c>
      <c r="AO163" s="35">
        <f>H163*0.477591835</f>
        <v>0</v>
      </c>
      <c r="AP163" s="35">
        <f>H163*(1-0.477591835)</f>
        <v>0</v>
      </c>
      <c r="AQ163" s="62" t="s">
        <v>127</v>
      </c>
      <c r="AV163" s="35">
        <f>ROUND(AW163+AX163,2)</f>
        <v>0</v>
      </c>
      <c r="AW163" s="35">
        <f>ROUND(G163*AO163,2)</f>
        <v>0</v>
      </c>
      <c r="AX163" s="35">
        <f>ROUND(G163*AP163,2)</f>
        <v>0</v>
      </c>
      <c r="AY163" s="62" t="s">
        <v>448</v>
      </c>
      <c r="AZ163" s="62" t="s">
        <v>449</v>
      </c>
      <c r="BA163" s="46" t="s">
        <v>195</v>
      </c>
      <c r="BC163" s="35">
        <f>AW163+AX163</f>
        <v>0</v>
      </c>
      <c r="BD163" s="35">
        <f>H163/(100-BE163)*100</f>
        <v>0</v>
      </c>
      <c r="BE163" s="35">
        <v>0</v>
      </c>
      <c r="BF163" s="35">
        <f>163</f>
        <v>163</v>
      </c>
      <c r="BH163" s="35">
        <f>G163*AO163</f>
        <v>0</v>
      </c>
      <c r="BI163" s="35">
        <f>G163*AP163</f>
        <v>0</v>
      </c>
      <c r="BJ163" s="35">
        <f>G163*H163</f>
        <v>0</v>
      </c>
      <c r="BK163" s="62" t="s">
        <v>135</v>
      </c>
      <c r="BL163" s="35">
        <v>91</v>
      </c>
      <c r="BW163" s="35">
        <v>21</v>
      </c>
      <c r="BX163" s="3" t="s">
        <v>480</v>
      </c>
    </row>
    <row r="164" spans="1:76">
      <c r="A164" s="68"/>
      <c r="D164" s="69" t="s">
        <v>127</v>
      </c>
      <c r="E164" s="70" t="s">
        <v>481</v>
      </c>
      <c r="G164" s="71">
        <v>1</v>
      </c>
      <c r="K164" s="51"/>
    </row>
    <row r="165" spans="1:76">
      <c r="A165" s="1" t="s">
        <v>482</v>
      </c>
      <c r="B165" s="2" t="s">
        <v>86</v>
      </c>
      <c r="C165" s="2" t="s">
        <v>483</v>
      </c>
      <c r="D165" s="92" t="s">
        <v>484</v>
      </c>
      <c r="E165" s="87"/>
      <c r="F165" s="2" t="s">
        <v>321</v>
      </c>
      <c r="G165" s="35">
        <v>1</v>
      </c>
      <c r="H165" s="61">
        <v>0</v>
      </c>
      <c r="I165" s="35">
        <f>ROUND(G165*H165,2)</f>
        <v>0</v>
      </c>
      <c r="K165" s="51"/>
      <c r="Z165" s="35">
        <f>ROUND(IF(AQ165="5",BJ165,0),2)</f>
        <v>0</v>
      </c>
      <c r="AB165" s="35">
        <f>ROUND(IF(AQ165="1",BH165,0),2)</f>
        <v>0</v>
      </c>
      <c r="AC165" s="35">
        <f>ROUND(IF(AQ165="1",BI165,0),2)</f>
        <v>0</v>
      </c>
      <c r="AD165" s="35">
        <f>ROUND(IF(AQ165="7",BH165,0),2)</f>
        <v>0</v>
      </c>
      <c r="AE165" s="35">
        <f>ROUND(IF(AQ165="7",BI165,0),2)</f>
        <v>0</v>
      </c>
      <c r="AF165" s="35">
        <f>ROUND(IF(AQ165="2",BH165,0),2)</f>
        <v>0</v>
      </c>
      <c r="AG165" s="35">
        <f>ROUND(IF(AQ165="2",BI165,0),2)</f>
        <v>0</v>
      </c>
      <c r="AH165" s="35">
        <f>ROUND(IF(AQ165="0",BJ165,0),2)</f>
        <v>0</v>
      </c>
      <c r="AI165" s="46" t="s">
        <v>86</v>
      </c>
      <c r="AJ165" s="35">
        <f>IF(AN165=0,I165,0)</f>
        <v>0</v>
      </c>
      <c r="AK165" s="35">
        <f>IF(AN165=12,I165,0)</f>
        <v>0</v>
      </c>
      <c r="AL165" s="35">
        <f>IF(AN165=21,I165,0)</f>
        <v>0</v>
      </c>
      <c r="AN165" s="35">
        <v>21</v>
      </c>
      <c r="AO165" s="35">
        <f>H165*1</f>
        <v>0</v>
      </c>
      <c r="AP165" s="35">
        <f>H165*(1-1)</f>
        <v>0</v>
      </c>
      <c r="AQ165" s="62" t="s">
        <v>127</v>
      </c>
      <c r="AV165" s="35">
        <f>ROUND(AW165+AX165,2)</f>
        <v>0</v>
      </c>
      <c r="AW165" s="35">
        <f>ROUND(G165*AO165,2)</f>
        <v>0</v>
      </c>
      <c r="AX165" s="35">
        <f>ROUND(G165*AP165,2)</f>
        <v>0</v>
      </c>
      <c r="AY165" s="62" t="s">
        <v>448</v>
      </c>
      <c r="AZ165" s="62" t="s">
        <v>449</v>
      </c>
      <c r="BA165" s="46" t="s">
        <v>195</v>
      </c>
      <c r="BC165" s="35">
        <f>AW165+AX165</f>
        <v>0</v>
      </c>
      <c r="BD165" s="35">
        <f>H165/(100-BE165)*100</f>
        <v>0</v>
      </c>
      <c r="BE165" s="35">
        <v>0</v>
      </c>
      <c r="BF165" s="35">
        <f>165</f>
        <v>165</v>
      </c>
      <c r="BH165" s="35">
        <f>G165*AO165</f>
        <v>0</v>
      </c>
      <c r="BI165" s="35">
        <f>G165*AP165</f>
        <v>0</v>
      </c>
      <c r="BJ165" s="35">
        <f>G165*H165</f>
        <v>0</v>
      </c>
      <c r="BK165" s="62" t="s">
        <v>277</v>
      </c>
      <c r="BL165" s="35">
        <v>91</v>
      </c>
      <c r="BW165" s="35">
        <v>21</v>
      </c>
      <c r="BX165" s="3" t="s">
        <v>484</v>
      </c>
    </row>
    <row r="166" spans="1:76">
      <c r="A166" s="1" t="s">
        <v>485</v>
      </c>
      <c r="B166" s="2" t="s">
        <v>86</v>
      </c>
      <c r="C166" s="2" t="s">
        <v>486</v>
      </c>
      <c r="D166" s="92" t="s">
        <v>487</v>
      </c>
      <c r="E166" s="87"/>
      <c r="F166" s="2" t="s">
        <v>321</v>
      </c>
      <c r="G166" s="35">
        <v>1</v>
      </c>
      <c r="H166" s="61">
        <v>0</v>
      </c>
      <c r="I166" s="35">
        <f>ROUND(G166*H166,2)</f>
        <v>0</v>
      </c>
      <c r="K166" s="51"/>
      <c r="Z166" s="35">
        <f>ROUND(IF(AQ166="5",BJ166,0),2)</f>
        <v>0</v>
      </c>
      <c r="AB166" s="35">
        <f>ROUND(IF(AQ166="1",BH166,0),2)</f>
        <v>0</v>
      </c>
      <c r="AC166" s="35">
        <f>ROUND(IF(AQ166="1",BI166,0),2)</f>
        <v>0</v>
      </c>
      <c r="AD166" s="35">
        <f>ROUND(IF(AQ166="7",BH166,0),2)</f>
        <v>0</v>
      </c>
      <c r="AE166" s="35">
        <f>ROUND(IF(AQ166="7",BI166,0),2)</f>
        <v>0</v>
      </c>
      <c r="AF166" s="35">
        <f>ROUND(IF(AQ166="2",BH166,0),2)</f>
        <v>0</v>
      </c>
      <c r="AG166" s="35">
        <f>ROUND(IF(AQ166="2",BI166,0),2)</f>
        <v>0</v>
      </c>
      <c r="AH166" s="35">
        <f>ROUND(IF(AQ166="0",BJ166,0),2)</f>
        <v>0</v>
      </c>
      <c r="AI166" s="46" t="s">
        <v>86</v>
      </c>
      <c r="AJ166" s="35">
        <f>IF(AN166=0,I166,0)</f>
        <v>0</v>
      </c>
      <c r="AK166" s="35">
        <f>IF(AN166=12,I166,0)</f>
        <v>0</v>
      </c>
      <c r="AL166" s="35">
        <f>IF(AN166=21,I166,0)</f>
        <v>0</v>
      </c>
      <c r="AN166" s="35">
        <v>21</v>
      </c>
      <c r="AO166" s="35">
        <f>H166*1</f>
        <v>0</v>
      </c>
      <c r="AP166" s="35">
        <f>H166*(1-1)</f>
        <v>0</v>
      </c>
      <c r="AQ166" s="62" t="s">
        <v>127</v>
      </c>
      <c r="AV166" s="35">
        <f>ROUND(AW166+AX166,2)</f>
        <v>0</v>
      </c>
      <c r="AW166" s="35">
        <f>ROUND(G166*AO166,2)</f>
        <v>0</v>
      </c>
      <c r="AX166" s="35">
        <f>ROUND(G166*AP166,2)</f>
        <v>0</v>
      </c>
      <c r="AY166" s="62" t="s">
        <v>448</v>
      </c>
      <c r="AZ166" s="62" t="s">
        <v>449</v>
      </c>
      <c r="BA166" s="46" t="s">
        <v>195</v>
      </c>
      <c r="BC166" s="35">
        <f>AW166+AX166</f>
        <v>0</v>
      </c>
      <c r="BD166" s="35">
        <f>H166/(100-BE166)*100</f>
        <v>0</v>
      </c>
      <c r="BE166" s="35">
        <v>0</v>
      </c>
      <c r="BF166" s="35">
        <f>166</f>
        <v>166</v>
      </c>
      <c r="BH166" s="35">
        <f>G166*AO166</f>
        <v>0</v>
      </c>
      <c r="BI166" s="35">
        <f>G166*AP166</f>
        <v>0</v>
      </c>
      <c r="BJ166" s="35">
        <f>G166*H166</f>
        <v>0</v>
      </c>
      <c r="BK166" s="62" t="s">
        <v>277</v>
      </c>
      <c r="BL166" s="35">
        <v>91</v>
      </c>
      <c r="BW166" s="35">
        <v>21</v>
      </c>
      <c r="BX166" s="3" t="s">
        <v>487</v>
      </c>
    </row>
    <row r="167" spans="1:76">
      <c r="A167" s="1" t="s">
        <v>488</v>
      </c>
      <c r="B167" s="2" t="s">
        <v>86</v>
      </c>
      <c r="C167" s="2" t="s">
        <v>489</v>
      </c>
      <c r="D167" s="92" t="s">
        <v>490</v>
      </c>
      <c r="E167" s="87"/>
      <c r="F167" s="2" t="s">
        <v>282</v>
      </c>
      <c r="G167" s="35">
        <v>314.5</v>
      </c>
      <c r="H167" s="61">
        <v>0</v>
      </c>
      <c r="I167" s="35">
        <f>ROUND(G167*H167,2)</f>
        <v>0</v>
      </c>
      <c r="K167" s="51"/>
      <c r="Z167" s="35">
        <f>ROUND(IF(AQ167="5",BJ167,0),2)</f>
        <v>0</v>
      </c>
      <c r="AB167" s="35">
        <f>ROUND(IF(AQ167="1",BH167,0),2)</f>
        <v>0</v>
      </c>
      <c r="AC167" s="35">
        <f>ROUND(IF(AQ167="1",BI167,0),2)</f>
        <v>0</v>
      </c>
      <c r="AD167" s="35">
        <f>ROUND(IF(AQ167="7",BH167,0),2)</f>
        <v>0</v>
      </c>
      <c r="AE167" s="35">
        <f>ROUND(IF(AQ167="7",BI167,0),2)</f>
        <v>0</v>
      </c>
      <c r="AF167" s="35">
        <f>ROUND(IF(AQ167="2",BH167,0),2)</f>
        <v>0</v>
      </c>
      <c r="AG167" s="35">
        <f>ROUND(IF(AQ167="2",BI167,0),2)</f>
        <v>0</v>
      </c>
      <c r="AH167" s="35">
        <f>ROUND(IF(AQ167="0",BJ167,0),2)</f>
        <v>0</v>
      </c>
      <c r="AI167" s="46" t="s">
        <v>86</v>
      </c>
      <c r="AJ167" s="35">
        <f>IF(AN167=0,I167,0)</f>
        <v>0</v>
      </c>
      <c r="AK167" s="35">
        <f>IF(AN167=12,I167,0)</f>
        <v>0</v>
      </c>
      <c r="AL167" s="35">
        <f>IF(AN167=21,I167,0)</f>
        <v>0</v>
      </c>
      <c r="AN167" s="35">
        <v>21</v>
      </c>
      <c r="AO167" s="35">
        <f>H167*0.433827166</f>
        <v>0</v>
      </c>
      <c r="AP167" s="35">
        <f>H167*(1-0.433827166)</f>
        <v>0</v>
      </c>
      <c r="AQ167" s="62" t="s">
        <v>127</v>
      </c>
      <c r="AV167" s="35">
        <f>ROUND(AW167+AX167,2)</f>
        <v>0</v>
      </c>
      <c r="AW167" s="35">
        <f>ROUND(G167*AO167,2)</f>
        <v>0</v>
      </c>
      <c r="AX167" s="35">
        <f>ROUND(G167*AP167,2)</f>
        <v>0</v>
      </c>
      <c r="AY167" s="62" t="s">
        <v>448</v>
      </c>
      <c r="AZ167" s="62" t="s">
        <v>449</v>
      </c>
      <c r="BA167" s="46" t="s">
        <v>195</v>
      </c>
      <c r="BC167" s="35">
        <f>AW167+AX167</f>
        <v>0</v>
      </c>
      <c r="BD167" s="35">
        <f>H167/(100-BE167)*100</f>
        <v>0</v>
      </c>
      <c r="BE167" s="35">
        <v>0</v>
      </c>
      <c r="BF167" s="35">
        <f>167</f>
        <v>167</v>
      </c>
      <c r="BH167" s="35">
        <f>G167*AO167</f>
        <v>0</v>
      </c>
      <c r="BI167" s="35">
        <f>G167*AP167</f>
        <v>0</v>
      </c>
      <c r="BJ167" s="35">
        <f>G167*H167</f>
        <v>0</v>
      </c>
      <c r="BK167" s="62" t="s">
        <v>135</v>
      </c>
      <c r="BL167" s="35">
        <v>91</v>
      </c>
      <c r="BW167" s="35">
        <v>21</v>
      </c>
      <c r="BX167" s="3" t="s">
        <v>490</v>
      </c>
    </row>
    <row r="168" spans="1:76" ht="13.5" customHeight="1">
      <c r="A168" s="68"/>
      <c r="C168" s="72" t="s">
        <v>337</v>
      </c>
      <c r="D168" s="178" t="s">
        <v>491</v>
      </c>
      <c r="E168" s="179"/>
      <c r="F168" s="179"/>
      <c r="G168" s="179"/>
      <c r="H168" s="180"/>
      <c r="I168" s="179"/>
      <c r="J168" s="179"/>
      <c r="K168" s="181"/>
    </row>
    <row r="169" spans="1:76">
      <c r="A169" s="68"/>
      <c r="D169" s="69" t="s">
        <v>492</v>
      </c>
      <c r="E169" s="70" t="s">
        <v>493</v>
      </c>
      <c r="G169" s="71">
        <v>314.5</v>
      </c>
      <c r="K169" s="51"/>
    </row>
    <row r="170" spans="1:76">
      <c r="A170" s="1" t="s">
        <v>494</v>
      </c>
      <c r="B170" s="2" t="s">
        <v>86</v>
      </c>
      <c r="C170" s="2" t="s">
        <v>495</v>
      </c>
      <c r="D170" s="92" t="s">
        <v>496</v>
      </c>
      <c r="E170" s="87"/>
      <c r="F170" s="2" t="s">
        <v>282</v>
      </c>
      <c r="G170" s="35">
        <v>6</v>
      </c>
      <c r="H170" s="61">
        <v>0</v>
      </c>
      <c r="I170" s="35">
        <f>ROUND(G170*H170,2)</f>
        <v>0</v>
      </c>
      <c r="K170" s="51"/>
      <c r="Z170" s="35">
        <f>ROUND(IF(AQ170="5",BJ170,0),2)</f>
        <v>0</v>
      </c>
      <c r="AB170" s="35">
        <f>ROUND(IF(AQ170="1",BH170,0),2)</f>
        <v>0</v>
      </c>
      <c r="AC170" s="35">
        <f>ROUND(IF(AQ170="1",BI170,0),2)</f>
        <v>0</v>
      </c>
      <c r="AD170" s="35">
        <f>ROUND(IF(AQ170="7",BH170,0),2)</f>
        <v>0</v>
      </c>
      <c r="AE170" s="35">
        <f>ROUND(IF(AQ170="7",BI170,0),2)</f>
        <v>0</v>
      </c>
      <c r="AF170" s="35">
        <f>ROUND(IF(AQ170="2",BH170,0),2)</f>
        <v>0</v>
      </c>
      <c r="AG170" s="35">
        <f>ROUND(IF(AQ170="2",BI170,0),2)</f>
        <v>0</v>
      </c>
      <c r="AH170" s="35">
        <f>ROUND(IF(AQ170="0",BJ170,0),2)</f>
        <v>0</v>
      </c>
      <c r="AI170" s="46" t="s">
        <v>86</v>
      </c>
      <c r="AJ170" s="35">
        <f>IF(AN170=0,I170,0)</f>
        <v>0</v>
      </c>
      <c r="AK170" s="35">
        <f>IF(AN170=12,I170,0)</f>
        <v>0</v>
      </c>
      <c r="AL170" s="35">
        <f>IF(AN170=21,I170,0)</f>
        <v>0</v>
      </c>
      <c r="AN170" s="35">
        <v>21</v>
      </c>
      <c r="AO170" s="35">
        <f>H170*0.716229713</f>
        <v>0</v>
      </c>
      <c r="AP170" s="35">
        <f>H170*(1-0.716229713)</f>
        <v>0</v>
      </c>
      <c r="AQ170" s="62" t="s">
        <v>127</v>
      </c>
      <c r="AV170" s="35">
        <f>ROUND(AW170+AX170,2)</f>
        <v>0</v>
      </c>
      <c r="AW170" s="35">
        <f>ROUND(G170*AO170,2)</f>
        <v>0</v>
      </c>
      <c r="AX170" s="35">
        <f>ROUND(G170*AP170,2)</f>
        <v>0</v>
      </c>
      <c r="AY170" s="62" t="s">
        <v>448</v>
      </c>
      <c r="AZ170" s="62" t="s">
        <v>449</v>
      </c>
      <c r="BA170" s="46" t="s">
        <v>195</v>
      </c>
      <c r="BC170" s="35">
        <f>AW170+AX170</f>
        <v>0</v>
      </c>
      <c r="BD170" s="35">
        <f>H170/(100-BE170)*100</f>
        <v>0</v>
      </c>
      <c r="BE170" s="35">
        <v>0</v>
      </c>
      <c r="BF170" s="35">
        <f>170</f>
        <v>170</v>
      </c>
      <c r="BH170" s="35">
        <f>G170*AO170</f>
        <v>0</v>
      </c>
      <c r="BI170" s="35">
        <f>G170*AP170</f>
        <v>0</v>
      </c>
      <c r="BJ170" s="35">
        <f>G170*H170</f>
        <v>0</v>
      </c>
      <c r="BK170" s="62" t="s">
        <v>135</v>
      </c>
      <c r="BL170" s="35">
        <v>91</v>
      </c>
      <c r="BW170" s="35">
        <v>21</v>
      </c>
      <c r="BX170" s="3" t="s">
        <v>496</v>
      </c>
    </row>
    <row r="171" spans="1:76" ht="13.5" customHeight="1">
      <c r="A171" s="68"/>
      <c r="C171" s="72" t="s">
        <v>337</v>
      </c>
      <c r="D171" s="178" t="s">
        <v>491</v>
      </c>
      <c r="E171" s="179"/>
      <c r="F171" s="179"/>
      <c r="G171" s="179"/>
      <c r="H171" s="180"/>
      <c r="I171" s="179"/>
      <c r="J171" s="179"/>
      <c r="K171" s="181"/>
    </row>
    <row r="172" spans="1:76">
      <c r="A172" s="68"/>
      <c r="D172" s="69" t="s">
        <v>497</v>
      </c>
      <c r="E172" s="70" t="s">
        <v>498</v>
      </c>
      <c r="G172" s="71">
        <v>6</v>
      </c>
      <c r="K172" s="51"/>
    </row>
    <row r="173" spans="1:76">
      <c r="A173" s="1" t="s">
        <v>499</v>
      </c>
      <c r="B173" s="2" t="s">
        <v>86</v>
      </c>
      <c r="C173" s="2" t="s">
        <v>500</v>
      </c>
      <c r="D173" s="92" t="s">
        <v>501</v>
      </c>
      <c r="E173" s="87"/>
      <c r="F173" s="2" t="s">
        <v>282</v>
      </c>
      <c r="G173" s="35">
        <v>7.5</v>
      </c>
      <c r="H173" s="61">
        <v>0</v>
      </c>
      <c r="I173" s="35">
        <f>ROUND(G173*H173,2)</f>
        <v>0</v>
      </c>
      <c r="K173" s="51"/>
      <c r="Z173" s="35">
        <f>ROUND(IF(AQ173="5",BJ173,0),2)</f>
        <v>0</v>
      </c>
      <c r="AB173" s="35">
        <f>ROUND(IF(AQ173="1",BH173,0),2)</f>
        <v>0</v>
      </c>
      <c r="AC173" s="35">
        <f>ROUND(IF(AQ173="1",BI173,0),2)</f>
        <v>0</v>
      </c>
      <c r="AD173" s="35">
        <f>ROUND(IF(AQ173="7",BH173,0),2)</f>
        <v>0</v>
      </c>
      <c r="AE173" s="35">
        <f>ROUND(IF(AQ173="7",BI173,0),2)</f>
        <v>0</v>
      </c>
      <c r="AF173" s="35">
        <f>ROUND(IF(AQ173="2",BH173,0),2)</f>
        <v>0</v>
      </c>
      <c r="AG173" s="35">
        <f>ROUND(IF(AQ173="2",BI173,0),2)</f>
        <v>0</v>
      </c>
      <c r="AH173" s="35">
        <f>ROUND(IF(AQ173="0",BJ173,0),2)</f>
        <v>0</v>
      </c>
      <c r="AI173" s="46" t="s">
        <v>86</v>
      </c>
      <c r="AJ173" s="35">
        <f>IF(AN173=0,I173,0)</f>
        <v>0</v>
      </c>
      <c r="AK173" s="35">
        <f>IF(AN173=12,I173,0)</f>
        <v>0</v>
      </c>
      <c r="AL173" s="35">
        <f>IF(AN173=21,I173,0)</f>
        <v>0</v>
      </c>
      <c r="AN173" s="35">
        <v>21</v>
      </c>
      <c r="AO173" s="35">
        <f>H173*0.711809992</f>
        <v>0</v>
      </c>
      <c r="AP173" s="35">
        <f>H173*(1-0.711809992)</f>
        <v>0</v>
      </c>
      <c r="AQ173" s="62" t="s">
        <v>127</v>
      </c>
      <c r="AV173" s="35">
        <f>ROUND(AW173+AX173,2)</f>
        <v>0</v>
      </c>
      <c r="AW173" s="35">
        <f>ROUND(G173*AO173,2)</f>
        <v>0</v>
      </c>
      <c r="AX173" s="35">
        <f>ROUND(G173*AP173,2)</f>
        <v>0</v>
      </c>
      <c r="AY173" s="62" t="s">
        <v>448</v>
      </c>
      <c r="AZ173" s="62" t="s">
        <v>449</v>
      </c>
      <c r="BA173" s="46" t="s">
        <v>195</v>
      </c>
      <c r="BC173" s="35">
        <f>AW173+AX173</f>
        <v>0</v>
      </c>
      <c r="BD173" s="35">
        <f>H173/(100-BE173)*100</f>
        <v>0</v>
      </c>
      <c r="BE173" s="35">
        <v>0</v>
      </c>
      <c r="BF173" s="35">
        <f>173</f>
        <v>173</v>
      </c>
      <c r="BH173" s="35">
        <f>G173*AO173</f>
        <v>0</v>
      </c>
      <c r="BI173" s="35">
        <f>G173*AP173</f>
        <v>0</v>
      </c>
      <c r="BJ173" s="35">
        <f>G173*H173</f>
        <v>0</v>
      </c>
      <c r="BK173" s="62" t="s">
        <v>135</v>
      </c>
      <c r="BL173" s="35">
        <v>91</v>
      </c>
      <c r="BW173" s="35">
        <v>21</v>
      </c>
      <c r="BX173" s="3" t="s">
        <v>501</v>
      </c>
    </row>
    <row r="174" spans="1:76" ht="13.5" customHeight="1">
      <c r="A174" s="68"/>
      <c r="C174" s="72" t="s">
        <v>337</v>
      </c>
      <c r="D174" s="178" t="s">
        <v>491</v>
      </c>
      <c r="E174" s="179"/>
      <c r="F174" s="179"/>
      <c r="G174" s="179"/>
      <c r="H174" s="180"/>
      <c r="I174" s="179"/>
      <c r="J174" s="179"/>
      <c r="K174" s="181"/>
    </row>
    <row r="175" spans="1:76">
      <c r="A175" s="68"/>
      <c r="D175" s="69" t="s">
        <v>502</v>
      </c>
      <c r="E175" s="70" t="s">
        <v>498</v>
      </c>
      <c r="G175" s="71">
        <v>7.5</v>
      </c>
      <c r="K175" s="51"/>
    </row>
    <row r="176" spans="1:76">
      <c r="A176" s="1" t="s">
        <v>503</v>
      </c>
      <c r="B176" s="2" t="s">
        <v>86</v>
      </c>
      <c r="C176" s="2" t="s">
        <v>504</v>
      </c>
      <c r="D176" s="92" t="s">
        <v>505</v>
      </c>
      <c r="E176" s="87"/>
      <c r="F176" s="2" t="s">
        <v>282</v>
      </c>
      <c r="G176" s="35">
        <v>98</v>
      </c>
      <c r="H176" s="61">
        <v>0</v>
      </c>
      <c r="I176" s="35">
        <f>ROUND(G176*H176,2)</f>
        <v>0</v>
      </c>
      <c r="K176" s="51"/>
      <c r="Z176" s="35">
        <f>ROUND(IF(AQ176="5",BJ176,0),2)</f>
        <v>0</v>
      </c>
      <c r="AB176" s="35">
        <f>ROUND(IF(AQ176="1",BH176,0),2)</f>
        <v>0</v>
      </c>
      <c r="AC176" s="35">
        <f>ROUND(IF(AQ176="1",BI176,0),2)</f>
        <v>0</v>
      </c>
      <c r="AD176" s="35">
        <f>ROUND(IF(AQ176="7",BH176,0),2)</f>
        <v>0</v>
      </c>
      <c r="AE176" s="35">
        <f>ROUND(IF(AQ176="7",BI176,0),2)</f>
        <v>0</v>
      </c>
      <c r="AF176" s="35">
        <f>ROUND(IF(AQ176="2",BH176,0),2)</f>
        <v>0</v>
      </c>
      <c r="AG176" s="35">
        <f>ROUND(IF(AQ176="2",BI176,0),2)</f>
        <v>0</v>
      </c>
      <c r="AH176" s="35">
        <f>ROUND(IF(AQ176="0",BJ176,0),2)</f>
        <v>0</v>
      </c>
      <c r="AI176" s="46" t="s">
        <v>86</v>
      </c>
      <c r="AJ176" s="35">
        <f>IF(AN176=0,I176,0)</f>
        <v>0</v>
      </c>
      <c r="AK176" s="35">
        <f>IF(AN176=12,I176,0)</f>
        <v>0</v>
      </c>
      <c r="AL176" s="35">
        <f>IF(AN176=21,I176,0)</f>
        <v>0</v>
      </c>
      <c r="AN176" s="35">
        <v>21</v>
      </c>
      <c r="AO176" s="35">
        <f>H176*0.411470588</f>
        <v>0</v>
      </c>
      <c r="AP176" s="35">
        <f>H176*(1-0.411470588)</f>
        <v>0</v>
      </c>
      <c r="AQ176" s="62" t="s">
        <v>127</v>
      </c>
      <c r="AV176" s="35">
        <f>ROUND(AW176+AX176,2)</f>
        <v>0</v>
      </c>
      <c r="AW176" s="35">
        <f>ROUND(G176*AO176,2)</f>
        <v>0</v>
      </c>
      <c r="AX176" s="35">
        <f>ROUND(G176*AP176,2)</f>
        <v>0</v>
      </c>
      <c r="AY176" s="62" t="s">
        <v>448</v>
      </c>
      <c r="AZ176" s="62" t="s">
        <v>449</v>
      </c>
      <c r="BA176" s="46" t="s">
        <v>195</v>
      </c>
      <c r="BC176" s="35">
        <f>AW176+AX176</f>
        <v>0</v>
      </c>
      <c r="BD176" s="35">
        <f>H176/(100-BE176)*100</f>
        <v>0</v>
      </c>
      <c r="BE176" s="35">
        <v>0</v>
      </c>
      <c r="BF176" s="35">
        <f>176</f>
        <v>176</v>
      </c>
      <c r="BH176" s="35">
        <f>G176*AO176</f>
        <v>0</v>
      </c>
      <c r="BI176" s="35">
        <f>G176*AP176</f>
        <v>0</v>
      </c>
      <c r="BJ176" s="35">
        <f>G176*H176</f>
        <v>0</v>
      </c>
      <c r="BK176" s="62" t="s">
        <v>135</v>
      </c>
      <c r="BL176" s="35">
        <v>91</v>
      </c>
      <c r="BW176" s="35">
        <v>21</v>
      </c>
      <c r="BX176" s="3" t="s">
        <v>505</v>
      </c>
    </row>
    <row r="177" spans="1:76" ht="13.5" customHeight="1">
      <c r="A177" s="68"/>
      <c r="C177" s="72" t="s">
        <v>337</v>
      </c>
      <c r="D177" s="178" t="s">
        <v>491</v>
      </c>
      <c r="E177" s="179"/>
      <c r="F177" s="179"/>
      <c r="G177" s="179"/>
      <c r="H177" s="180"/>
      <c r="I177" s="179"/>
      <c r="J177" s="179"/>
      <c r="K177" s="181"/>
    </row>
    <row r="178" spans="1:76">
      <c r="A178" s="68"/>
      <c r="D178" s="69" t="s">
        <v>506</v>
      </c>
      <c r="E178" s="70" t="s">
        <v>507</v>
      </c>
      <c r="G178" s="71">
        <v>98</v>
      </c>
      <c r="K178" s="51"/>
    </row>
    <row r="179" spans="1:76">
      <c r="A179" s="1" t="s">
        <v>508</v>
      </c>
      <c r="B179" s="2" t="s">
        <v>86</v>
      </c>
      <c r="C179" s="2" t="s">
        <v>509</v>
      </c>
      <c r="D179" s="92" t="s">
        <v>510</v>
      </c>
      <c r="E179" s="87"/>
      <c r="F179" s="2" t="s">
        <v>192</v>
      </c>
      <c r="G179" s="35">
        <v>18.574999999999999</v>
      </c>
      <c r="H179" s="61">
        <v>0</v>
      </c>
      <c r="I179" s="35">
        <f>ROUND(G179*H179,2)</f>
        <v>0</v>
      </c>
      <c r="K179" s="51"/>
      <c r="Z179" s="35">
        <f>ROUND(IF(AQ179="5",BJ179,0),2)</f>
        <v>0</v>
      </c>
      <c r="AB179" s="35">
        <f>ROUND(IF(AQ179="1",BH179,0),2)</f>
        <v>0</v>
      </c>
      <c r="AC179" s="35">
        <f>ROUND(IF(AQ179="1",BI179,0),2)</f>
        <v>0</v>
      </c>
      <c r="AD179" s="35">
        <f>ROUND(IF(AQ179="7",BH179,0),2)</f>
        <v>0</v>
      </c>
      <c r="AE179" s="35">
        <f>ROUND(IF(AQ179="7",BI179,0),2)</f>
        <v>0</v>
      </c>
      <c r="AF179" s="35">
        <f>ROUND(IF(AQ179="2",BH179,0),2)</f>
        <v>0</v>
      </c>
      <c r="AG179" s="35">
        <f>ROUND(IF(AQ179="2",BI179,0),2)</f>
        <v>0</v>
      </c>
      <c r="AH179" s="35">
        <f>ROUND(IF(AQ179="0",BJ179,0),2)</f>
        <v>0</v>
      </c>
      <c r="AI179" s="46" t="s">
        <v>86</v>
      </c>
      <c r="AJ179" s="35">
        <f>IF(AN179=0,I179,0)</f>
        <v>0</v>
      </c>
      <c r="AK179" s="35">
        <f>IF(AN179=12,I179,0)</f>
        <v>0</v>
      </c>
      <c r="AL179" s="35">
        <f>IF(AN179=21,I179,0)</f>
        <v>0</v>
      </c>
      <c r="AN179" s="35">
        <v>21</v>
      </c>
      <c r="AO179" s="35">
        <f>H179*0</f>
        <v>0</v>
      </c>
      <c r="AP179" s="35">
        <f>H179*(1-0)</f>
        <v>0</v>
      </c>
      <c r="AQ179" s="62" t="s">
        <v>127</v>
      </c>
      <c r="AV179" s="35">
        <f>ROUND(AW179+AX179,2)</f>
        <v>0</v>
      </c>
      <c r="AW179" s="35">
        <f>ROUND(G179*AO179,2)</f>
        <v>0</v>
      </c>
      <c r="AX179" s="35">
        <f>ROUND(G179*AP179,2)</f>
        <v>0</v>
      </c>
      <c r="AY179" s="62" t="s">
        <v>448</v>
      </c>
      <c r="AZ179" s="62" t="s">
        <v>449</v>
      </c>
      <c r="BA179" s="46" t="s">
        <v>195</v>
      </c>
      <c r="BC179" s="35">
        <f>AW179+AX179</f>
        <v>0</v>
      </c>
      <c r="BD179" s="35">
        <f>H179/(100-BE179)*100</f>
        <v>0</v>
      </c>
      <c r="BE179" s="35">
        <v>0</v>
      </c>
      <c r="BF179" s="35">
        <f>179</f>
        <v>179</v>
      </c>
      <c r="BH179" s="35">
        <f>G179*AO179</f>
        <v>0</v>
      </c>
      <c r="BI179" s="35">
        <f>G179*AP179</f>
        <v>0</v>
      </c>
      <c r="BJ179" s="35">
        <f>G179*H179</f>
        <v>0</v>
      </c>
      <c r="BK179" s="62" t="s">
        <v>135</v>
      </c>
      <c r="BL179" s="35">
        <v>91</v>
      </c>
      <c r="BW179" s="35">
        <v>21</v>
      </c>
      <c r="BX179" s="3" t="s">
        <v>510</v>
      </c>
    </row>
    <row r="180" spans="1:76">
      <c r="A180" s="73"/>
      <c r="B180" s="74"/>
      <c r="C180" s="74"/>
      <c r="D180" s="75" t="s">
        <v>511</v>
      </c>
      <c r="E180" s="75" t="s">
        <v>512</v>
      </c>
      <c r="F180" s="74"/>
      <c r="G180" s="76">
        <v>12.25</v>
      </c>
      <c r="H180" s="77"/>
      <c r="I180" s="74"/>
      <c r="K180" s="51"/>
    </row>
    <row r="181" spans="1:76">
      <c r="A181" s="73"/>
      <c r="B181" s="74"/>
      <c r="C181" s="74"/>
      <c r="D181" s="75" t="s">
        <v>513</v>
      </c>
      <c r="E181" s="75" t="s">
        <v>514</v>
      </c>
      <c r="F181" s="74"/>
      <c r="G181" s="76">
        <v>7.4999999999999997E-2</v>
      </c>
      <c r="H181" s="77"/>
      <c r="I181" s="74"/>
      <c r="K181" s="51"/>
    </row>
    <row r="182" spans="1:76">
      <c r="A182" s="73"/>
      <c r="B182" s="74"/>
      <c r="C182" s="74"/>
      <c r="D182" s="75" t="s">
        <v>515</v>
      </c>
      <c r="E182" s="75" t="s">
        <v>514</v>
      </c>
      <c r="F182" s="74"/>
      <c r="G182" s="76">
        <v>1.5</v>
      </c>
      <c r="H182" s="77"/>
      <c r="I182" s="74"/>
      <c r="K182" s="51"/>
    </row>
    <row r="183" spans="1:76">
      <c r="A183" s="73"/>
      <c r="B183" s="74"/>
      <c r="C183" s="74"/>
      <c r="D183" s="75" t="s">
        <v>516</v>
      </c>
      <c r="E183" s="75" t="s">
        <v>517</v>
      </c>
      <c r="F183" s="74"/>
      <c r="G183" s="76">
        <v>4.75</v>
      </c>
      <c r="H183" s="77"/>
      <c r="I183" s="74"/>
      <c r="K183" s="51"/>
    </row>
    <row r="184" spans="1:76">
      <c r="A184" s="57" t="s">
        <v>4</v>
      </c>
      <c r="B184" s="58" t="s">
        <v>86</v>
      </c>
      <c r="C184" s="58" t="s">
        <v>518</v>
      </c>
      <c r="D184" s="174" t="s">
        <v>519</v>
      </c>
      <c r="E184" s="175"/>
      <c r="F184" s="59" t="s">
        <v>79</v>
      </c>
      <c r="G184" s="59" t="s">
        <v>79</v>
      </c>
      <c r="H184" s="60" t="s">
        <v>79</v>
      </c>
      <c r="I184" s="40">
        <f>SUM(I185:I203)</f>
        <v>0</v>
      </c>
      <c r="K184" s="51"/>
      <c r="AI184" s="46" t="s">
        <v>86</v>
      </c>
      <c r="AS184" s="40">
        <f>SUM(AJ185:AJ203)</f>
        <v>0</v>
      </c>
      <c r="AT184" s="40">
        <f>SUM(AK185:AK203)</f>
        <v>0</v>
      </c>
      <c r="AU184" s="40">
        <f>SUM(AL185:AL203)</f>
        <v>0</v>
      </c>
    </row>
    <row r="185" spans="1:76">
      <c r="A185" s="1" t="s">
        <v>443</v>
      </c>
      <c r="B185" s="2" t="s">
        <v>86</v>
      </c>
      <c r="C185" s="2" t="s">
        <v>520</v>
      </c>
      <c r="D185" s="92" t="s">
        <v>521</v>
      </c>
      <c r="E185" s="87"/>
      <c r="F185" s="2" t="s">
        <v>192</v>
      </c>
      <c r="G185" s="35">
        <v>9.5</v>
      </c>
      <c r="H185" s="61">
        <v>0</v>
      </c>
      <c r="I185" s="35">
        <f>ROUND(G185*H185,2)</f>
        <v>0</v>
      </c>
      <c r="K185" s="51"/>
      <c r="Z185" s="35">
        <f>ROUND(IF(AQ185="5",BJ185,0),2)</f>
        <v>0</v>
      </c>
      <c r="AB185" s="35">
        <f>ROUND(IF(AQ185="1",BH185,0),2)</f>
        <v>0</v>
      </c>
      <c r="AC185" s="35">
        <f>ROUND(IF(AQ185="1",BI185,0),2)</f>
        <v>0</v>
      </c>
      <c r="AD185" s="35">
        <f>ROUND(IF(AQ185="7",BH185,0),2)</f>
        <v>0</v>
      </c>
      <c r="AE185" s="35">
        <f>ROUND(IF(AQ185="7",BI185,0),2)</f>
        <v>0</v>
      </c>
      <c r="AF185" s="35">
        <f>ROUND(IF(AQ185="2",BH185,0),2)</f>
        <v>0</v>
      </c>
      <c r="AG185" s="35">
        <f>ROUND(IF(AQ185="2",BI185,0),2)</f>
        <v>0</v>
      </c>
      <c r="AH185" s="35">
        <f>ROUND(IF(AQ185="0",BJ185,0),2)</f>
        <v>0</v>
      </c>
      <c r="AI185" s="46" t="s">
        <v>86</v>
      </c>
      <c r="AJ185" s="35">
        <f>IF(AN185=0,I185,0)</f>
        <v>0</v>
      </c>
      <c r="AK185" s="35">
        <f>IF(AN185=12,I185,0)</f>
        <v>0</v>
      </c>
      <c r="AL185" s="35">
        <f>IF(AN185=21,I185,0)</f>
        <v>0</v>
      </c>
      <c r="AN185" s="35">
        <v>21</v>
      </c>
      <c r="AO185" s="35">
        <f>H185*0</f>
        <v>0</v>
      </c>
      <c r="AP185" s="35">
        <f>H185*(1-0)</f>
        <v>0</v>
      </c>
      <c r="AQ185" s="62" t="s">
        <v>127</v>
      </c>
      <c r="AV185" s="35">
        <f>ROUND(AW185+AX185,2)</f>
        <v>0</v>
      </c>
      <c r="AW185" s="35">
        <f>ROUND(G185*AO185,2)</f>
        <v>0</v>
      </c>
      <c r="AX185" s="35">
        <f>ROUND(G185*AP185,2)</f>
        <v>0</v>
      </c>
      <c r="AY185" s="62" t="s">
        <v>522</v>
      </c>
      <c r="AZ185" s="62" t="s">
        <v>449</v>
      </c>
      <c r="BA185" s="46" t="s">
        <v>195</v>
      </c>
      <c r="BC185" s="35">
        <f>AW185+AX185</f>
        <v>0</v>
      </c>
      <c r="BD185" s="35">
        <f>H185/(100-BE185)*100</f>
        <v>0</v>
      </c>
      <c r="BE185" s="35">
        <v>0</v>
      </c>
      <c r="BF185" s="35">
        <f>185</f>
        <v>185</v>
      </c>
      <c r="BH185" s="35">
        <f>G185*AO185</f>
        <v>0</v>
      </c>
      <c r="BI185" s="35">
        <f>G185*AP185</f>
        <v>0</v>
      </c>
      <c r="BJ185" s="35">
        <f>G185*H185</f>
        <v>0</v>
      </c>
      <c r="BK185" s="62" t="s">
        <v>135</v>
      </c>
      <c r="BL185" s="35">
        <v>96</v>
      </c>
      <c r="BW185" s="35">
        <v>21</v>
      </c>
      <c r="BX185" s="3" t="s">
        <v>521</v>
      </c>
    </row>
    <row r="186" spans="1:76">
      <c r="A186" s="1" t="s">
        <v>523</v>
      </c>
      <c r="B186" s="2" t="s">
        <v>86</v>
      </c>
      <c r="C186" s="2" t="s">
        <v>524</v>
      </c>
      <c r="D186" s="92" t="s">
        <v>525</v>
      </c>
      <c r="E186" s="87"/>
      <c r="F186" s="2" t="s">
        <v>282</v>
      </c>
      <c r="G186" s="35">
        <v>121</v>
      </c>
      <c r="H186" s="61">
        <v>0</v>
      </c>
      <c r="I186" s="35">
        <f>ROUND(G186*H186,2)</f>
        <v>0</v>
      </c>
      <c r="K186" s="51"/>
      <c r="Z186" s="35">
        <f>ROUND(IF(AQ186="5",BJ186,0),2)</f>
        <v>0</v>
      </c>
      <c r="AB186" s="35">
        <f>ROUND(IF(AQ186="1",BH186,0),2)</f>
        <v>0</v>
      </c>
      <c r="AC186" s="35">
        <f>ROUND(IF(AQ186="1",BI186,0),2)</f>
        <v>0</v>
      </c>
      <c r="AD186" s="35">
        <f>ROUND(IF(AQ186="7",BH186,0),2)</f>
        <v>0</v>
      </c>
      <c r="AE186" s="35">
        <f>ROUND(IF(AQ186="7",BI186,0),2)</f>
        <v>0</v>
      </c>
      <c r="AF186" s="35">
        <f>ROUND(IF(AQ186="2",BH186,0),2)</f>
        <v>0</v>
      </c>
      <c r="AG186" s="35">
        <f>ROUND(IF(AQ186="2",BI186,0),2)</f>
        <v>0</v>
      </c>
      <c r="AH186" s="35">
        <f>ROUND(IF(AQ186="0",BJ186,0),2)</f>
        <v>0</v>
      </c>
      <c r="AI186" s="46" t="s">
        <v>86</v>
      </c>
      <c r="AJ186" s="35">
        <f>IF(AN186=0,I186,0)</f>
        <v>0</v>
      </c>
      <c r="AK186" s="35">
        <f>IF(AN186=12,I186,0)</f>
        <v>0</v>
      </c>
      <c r="AL186" s="35">
        <f>IF(AN186=21,I186,0)</f>
        <v>0</v>
      </c>
      <c r="AN186" s="35">
        <v>21</v>
      </c>
      <c r="AO186" s="35">
        <f>H186*0</f>
        <v>0</v>
      </c>
      <c r="AP186" s="35">
        <f>H186*(1-0)</f>
        <v>0</v>
      </c>
      <c r="AQ186" s="62" t="s">
        <v>127</v>
      </c>
      <c r="AV186" s="35">
        <f>ROUND(AW186+AX186,2)</f>
        <v>0</v>
      </c>
      <c r="AW186" s="35">
        <f>ROUND(G186*AO186,2)</f>
        <v>0</v>
      </c>
      <c r="AX186" s="35">
        <f>ROUND(G186*AP186,2)</f>
        <v>0</v>
      </c>
      <c r="AY186" s="62" t="s">
        <v>522</v>
      </c>
      <c r="AZ186" s="62" t="s">
        <v>449</v>
      </c>
      <c r="BA186" s="46" t="s">
        <v>195</v>
      </c>
      <c r="BC186" s="35">
        <f>AW186+AX186</f>
        <v>0</v>
      </c>
      <c r="BD186" s="35">
        <f>H186/(100-BE186)*100</f>
        <v>0</v>
      </c>
      <c r="BE186" s="35">
        <v>0</v>
      </c>
      <c r="BF186" s="35">
        <f>186</f>
        <v>186</v>
      </c>
      <c r="BH186" s="35">
        <f>G186*AO186</f>
        <v>0</v>
      </c>
      <c r="BI186" s="35">
        <f>G186*AP186</f>
        <v>0</v>
      </c>
      <c r="BJ186" s="35">
        <f>G186*H186</f>
        <v>0</v>
      </c>
      <c r="BK186" s="62" t="s">
        <v>135</v>
      </c>
      <c r="BL186" s="35">
        <v>96</v>
      </c>
      <c r="BW186" s="35">
        <v>21</v>
      </c>
      <c r="BX186" s="3" t="s">
        <v>525</v>
      </c>
    </row>
    <row r="187" spans="1:76">
      <c r="A187" s="68"/>
      <c r="D187" s="69" t="s">
        <v>526</v>
      </c>
      <c r="E187" s="70" t="s">
        <v>527</v>
      </c>
      <c r="G187" s="71">
        <v>121</v>
      </c>
      <c r="K187" s="51"/>
    </row>
    <row r="188" spans="1:76">
      <c r="A188" s="1" t="s">
        <v>528</v>
      </c>
      <c r="B188" s="2" t="s">
        <v>86</v>
      </c>
      <c r="C188" s="2" t="s">
        <v>529</v>
      </c>
      <c r="D188" s="92" t="s">
        <v>530</v>
      </c>
      <c r="E188" s="87"/>
      <c r="F188" s="2" t="s">
        <v>282</v>
      </c>
      <c r="G188" s="35">
        <v>3.8</v>
      </c>
      <c r="H188" s="61">
        <v>0</v>
      </c>
      <c r="I188" s="35">
        <f>ROUND(G188*H188,2)</f>
        <v>0</v>
      </c>
      <c r="K188" s="51"/>
      <c r="Z188" s="35">
        <f>ROUND(IF(AQ188="5",BJ188,0),2)</f>
        <v>0</v>
      </c>
      <c r="AB188" s="35">
        <f>ROUND(IF(AQ188="1",BH188,0),2)</f>
        <v>0</v>
      </c>
      <c r="AC188" s="35">
        <f>ROUND(IF(AQ188="1",BI188,0),2)</f>
        <v>0</v>
      </c>
      <c r="AD188" s="35">
        <f>ROUND(IF(AQ188="7",BH188,0),2)</f>
        <v>0</v>
      </c>
      <c r="AE188" s="35">
        <f>ROUND(IF(AQ188="7",BI188,0),2)</f>
        <v>0</v>
      </c>
      <c r="AF188" s="35">
        <f>ROUND(IF(AQ188="2",BH188,0),2)</f>
        <v>0</v>
      </c>
      <c r="AG188" s="35">
        <f>ROUND(IF(AQ188="2",BI188,0),2)</f>
        <v>0</v>
      </c>
      <c r="AH188" s="35">
        <f>ROUND(IF(AQ188="0",BJ188,0),2)</f>
        <v>0</v>
      </c>
      <c r="AI188" s="46" t="s">
        <v>86</v>
      </c>
      <c r="AJ188" s="35">
        <f>IF(AN188=0,I188,0)</f>
        <v>0</v>
      </c>
      <c r="AK188" s="35">
        <f>IF(AN188=12,I188,0)</f>
        <v>0</v>
      </c>
      <c r="AL188" s="35">
        <f>IF(AN188=21,I188,0)</f>
        <v>0</v>
      </c>
      <c r="AN188" s="35">
        <v>21</v>
      </c>
      <c r="AO188" s="35">
        <f>H188*0</f>
        <v>0</v>
      </c>
      <c r="AP188" s="35">
        <f>H188*(1-0)</f>
        <v>0</v>
      </c>
      <c r="AQ188" s="62" t="s">
        <v>127</v>
      </c>
      <c r="AV188" s="35">
        <f>ROUND(AW188+AX188,2)</f>
        <v>0</v>
      </c>
      <c r="AW188" s="35">
        <f>ROUND(G188*AO188,2)</f>
        <v>0</v>
      </c>
      <c r="AX188" s="35">
        <f>ROUND(G188*AP188,2)</f>
        <v>0</v>
      </c>
      <c r="AY188" s="62" t="s">
        <v>522</v>
      </c>
      <c r="AZ188" s="62" t="s">
        <v>449</v>
      </c>
      <c r="BA188" s="46" t="s">
        <v>195</v>
      </c>
      <c r="BC188" s="35">
        <f>AW188+AX188</f>
        <v>0</v>
      </c>
      <c r="BD188" s="35">
        <f>H188/(100-BE188)*100</f>
        <v>0</v>
      </c>
      <c r="BE188" s="35">
        <v>0</v>
      </c>
      <c r="BF188" s="35">
        <f>188</f>
        <v>188</v>
      </c>
      <c r="BH188" s="35">
        <f>G188*AO188</f>
        <v>0</v>
      </c>
      <c r="BI188" s="35">
        <f>G188*AP188</f>
        <v>0</v>
      </c>
      <c r="BJ188" s="35">
        <f>G188*H188</f>
        <v>0</v>
      </c>
      <c r="BK188" s="62" t="s">
        <v>135</v>
      </c>
      <c r="BL188" s="35">
        <v>96</v>
      </c>
      <c r="BW188" s="35">
        <v>21</v>
      </c>
      <c r="BX188" s="3" t="s">
        <v>530</v>
      </c>
    </row>
    <row r="189" spans="1:76">
      <c r="A189" s="1" t="s">
        <v>531</v>
      </c>
      <c r="B189" s="2" t="s">
        <v>86</v>
      </c>
      <c r="C189" s="2" t="s">
        <v>532</v>
      </c>
      <c r="D189" s="92" t="s">
        <v>533</v>
      </c>
      <c r="E189" s="87"/>
      <c r="F189" s="2" t="s">
        <v>282</v>
      </c>
      <c r="G189" s="35">
        <v>174.8</v>
      </c>
      <c r="H189" s="61">
        <v>0</v>
      </c>
      <c r="I189" s="35">
        <f>ROUND(G189*H189,2)</f>
        <v>0</v>
      </c>
      <c r="K189" s="51"/>
      <c r="Z189" s="35">
        <f>ROUND(IF(AQ189="5",BJ189,0),2)</f>
        <v>0</v>
      </c>
      <c r="AB189" s="35">
        <f>ROUND(IF(AQ189="1",BH189,0),2)</f>
        <v>0</v>
      </c>
      <c r="AC189" s="35">
        <f>ROUND(IF(AQ189="1",BI189,0),2)</f>
        <v>0</v>
      </c>
      <c r="AD189" s="35">
        <f>ROUND(IF(AQ189="7",BH189,0),2)</f>
        <v>0</v>
      </c>
      <c r="AE189" s="35">
        <f>ROUND(IF(AQ189="7",BI189,0),2)</f>
        <v>0</v>
      </c>
      <c r="AF189" s="35">
        <f>ROUND(IF(AQ189="2",BH189,0),2)</f>
        <v>0</v>
      </c>
      <c r="AG189" s="35">
        <f>ROUND(IF(AQ189="2",BI189,0),2)</f>
        <v>0</v>
      </c>
      <c r="AH189" s="35">
        <f>ROUND(IF(AQ189="0",BJ189,0),2)</f>
        <v>0</v>
      </c>
      <c r="AI189" s="46" t="s">
        <v>86</v>
      </c>
      <c r="AJ189" s="35">
        <f>IF(AN189=0,I189,0)</f>
        <v>0</v>
      </c>
      <c r="AK189" s="35">
        <f>IF(AN189=12,I189,0)</f>
        <v>0</v>
      </c>
      <c r="AL189" s="35">
        <f>IF(AN189=21,I189,0)</f>
        <v>0</v>
      </c>
      <c r="AN189" s="35">
        <v>21</v>
      </c>
      <c r="AO189" s="35">
        <f>H189*0.054101672</f>
        <v>0</v>
      </c>
      <c r="AP189" s="35">
        <f>H189*(1-0.054101672)</f>
        <v>0</v>
      </c>
      <c r="AQ189" s="62" t="s">
        <v>127</v>
      </c>
      <c r="AV189" s="35">
        <f>ROUND(AW189+AX189,2)</f>
        <v>0</v>
      </c>
      <c r="AW189" s="35">
        <f>ROUND(G189*AO189,2)</f>
        <v>0</v>
      </c>
      <c r="AX189" s="35">
        <f>ROUND(G189*AP189,2)</f>
        <v>0</v>
      </c>
      <c r="AY189" s="62" t="s">
        <v>522</v>
      </c>
      <c r="AZ189" s="62" t="s">
        <v>449</v>
      </c>
      <c r="BA189" s="46" t="s">
        <v>195</v>
      </c>
      <c r="BC189" s="35">
        <f>AW189+AX189</f>
        <v>0</v>
      </c>
      <c r="BD189" s="35">
        <f>H189/(100-BE189)*100</f>
        <v>0</v>
      </c>
      <c r="BE189" s="35">
        <v>0</v>
      </c>
      <c r="BF189" s="35">
        <f>189</f>
        <v>189</v>
      </c>
      <c r="BH189" s="35">
        <f>G189*AO189</f>
        <v>0</v>
      </c>
      <c r="BI189" s="35">
        <f>G189*AP189</f>
        <v>0</v>
      </c>
      <c r="BJ189" s="35">
        <f>G189*H189</f>
        <v>0</v>
      </c>
      <c r="BK189" s="62" t="s">
        <v>135</v>
      </c>
      <c r="BL189" s="35">
        <v>96</v>
      </c>
      <c r="BW189" s="35">
        <v>21</v>
      </c>
      <c r="BX189" s="3" t="s">
        <v>533</v>
      </c>
    </row>
    <row r="190" spans="1:76">
      <c r="A190" s="1" t="s">
        <v>534</v>
      </c>
      <c r="B190" s="2" t="s">
        <v>86</v>
      </c>
      <c r="C190" s="2" t="s">
        <v>535</v>
      </c>
      <c r="D190" s="92" t="s">
        <v>536</v>
      </c>
      <c r="E190" s="87"/>
      <c r="F190" s="2" t="s">
        <v>321</v>
      </c>
      <c r="G190" s="35">
        <v>2</v>
      </c>
      <c r="H190" s="61">
        <v>0</v>
      </c>
      <c r="I190" s="35">
        <f>ROUND(G190*H190,2)</f>
        <v>0</v>
      </c>
      <c r="K190" s="51"/>
      <c r="Z190" s="35">
        <f>ROUND(IF(AQ190="5",BJ190,0),2)</f>
        <v>0</v>
      </c>
      <c r="AB190" s="35">
        <f>ROUND(IF(AQ190="1",BH190,0),2)</f>
        <v>0</v>
      </c>
      <c r="AC190" s="35">
        <f>ROUND(IF(AQ190="1",BI190,0),2)</f>
        <v>0</v>
      </c>
      <c r="AD190" s="35">
        <f>ROUND(IF(AQ190="7",BH190,0),2)</f>
        <v>0</v>
      </c>
      <c r="AE190" s="35">
        <f>ROUND(IF(AQ190="7",BI190,0),2)</f>
        <v>0</v>
      </c>
      <c r="AF190" s="35">
        <f>ROUND(IF(AQ190="2",BH190,0),2)</f>
        <v>0</v>
      </c>
      <c r="AG190" s="35">
        <f>ROUND(IF(AQ190="2",BI190,0),2)</f>
        <v>0</v>
      </c>
      <c r="AH190" s="35">
        <f>ROUND(IF(AQ190="0",BJ190,0),2)</f>
        <v>0</v>
      </c>
      <c r="AI190" s="46" t="s">
        <v>86</v>
      </c>
      <c r="AJ190" s="35">
        <f>IF(AN190=0,I190,0)</f>
        <v>0</v>
      </c>
      <c r="AK190" s="35">
        <f>IF(AN190=12,I190,0)</f>
        <v>0</v>
      </c>
      <c r="AL190" s="35">
        <f>IF(AN190=21,I190,0)</f>
        <v>0</v>
      </c>
      <c r="AN190" s="35">
        <v>21</v>
      </c>
      <c r="AO190" s="35">
        <f>H190*0</f>
        <v>0</v>
      </c>
      <c r="AP190" s="35">
        <f>H190*(1-0)</f>
        <v>0</v>
      </c>
      <c r="AQ190" s="62" t="s">
        <v>127</v>
      </c>
      <c r="AV190" s="35">
        <f>ROUND(AW190+AX190,2)</f>
        <v>0</v>
      </c>
      <c r="AW190" s="35">
        <f>ROUND(G190*AO190,2)</f>
        <v>0</v>
      </c>
      <c r="AX190" s="35">
        <f>ROUND(G190*AP190,2)</f>
        <v>0</v>
      </c>
      <c r="AY190" s="62" t="s">
        <v>522</v>
      </c>
      <c r="AZ190" s="62" t="s">
        <v>449</v>
      </c>
      <c r="BA190" s="46" t="s">
        <v>195</v>
      </c>
      <c r="BC190" s="35">
        <f>AW190+AX190</f>
        <v>0</v>
      </c>
      <c r="BD190" s="35">
        <f>H190/(100-BE190)*100</f>
        <v>0</v>
      </c>
      <c r="BE190" s="35">
        <v>0</v>
      </c>
      <c r="BF190" s="35">
        <f>190</f>
        <v>190</v>
      </c>
      <c r="BH190" s="35">
        <f>G190*AO190</f>
        <v>0</v>
      </c>
      <c r="BI190" s="35">
        <f>G190*AP190</f>
        <v>0</v>
      </c>
      <c r="BJ190" s="35">
        <f>G190*H190</f>
        <v>0</v>
      </c>
      <c r="BK190" s="62" t="s">
        <v>135</v>
      </c>
      <c r="BL190" s="35">
        <v>96</v>
      </c>
      <c r="BW190" s="35">
        <v>21</v>
      </c>
      <c r="BX190" s="3" t="s">
        <v>536</v>
      </c>
    </row>
    <row r="191" spans="1:76" ht="13.5" customHeight="1">
      <c r="A191" s="68"/>
      <c r="C191" s="72" t="s">
        <v>337</v>
      </c>
      <c r="D191" s="178" t="s">
        <v>537</v>
      </c>
      <c r="E191" s="179"/>
      <c r="F191" s="179"/>
      <c r="G191" s="179"/>
      <c r="H191" s="180"/>
      <c r="I191" s="179"/>
      <c r="J191" s="179"/>
      <c r="K191" s="181"/>
    </row>
    <row r="192" spans="1:76">
      <c r="A192" s="1" t="s">
        <v>518</v>
      </c>
      <c r="B192" s="2" t="s">
        <v>86</v>
      </c>
      <c r="C192" s="2" t="s">
        <v>204</v>
      </c>
      <c r="D192" s="92" t="s">
        <v>205</v>
      </c>
      <c r="E192" s="87"/>
      <c r="F192" s="2" t="s">
        <v>206</v>
      </c>
      <c r="G192" s="35">
        <v>75.856999999999999</v>
      </c>
      <c r="H192" s="61">
        <v>0</v>
      </c>
      <c r="I192" s="35">
        <f>ROUND(G192*H192,2)</f>
        <v>0</v>
      </c>
      <c r="K192" s="51"/>
      <c r="Z192" s="35">
        <f>ROUND(IF(AQ192="5",BJ192,0),2)</f>
        <v>0</v>
      </c>
      <c r="AB192" s="35">
        <f>ROUND(IF(AQ192="1",BH192,0),2)</f>
        <v>0</v>
      </c>
      <c r="AC192" s="35">
        <f>ROUND(IF(AQ192="1",BI192,0),2)</f>
        <v>0</v>
      </c>
      <c r="AD192" s="35">
        <f>ROUND(IF(AQ192="7",BH192,0),2)</f>
        <v>0</v>
      </c>
      <c r="AE192" s="35">
        <f>ROUND(IF(AQ192="7",BI192,0),2)</f>
        <v>0</v>
      </c>
      <c r="AF192" s="35">
        <f>ROUND(IF(AQ192="2",BH192,0),2)</f>
        <v>0</v>
      </c>
      <c r="AG192" s="35">
        <f>ROUND(IF(AQ192="2",BI192,0),2)</f>
        <v>0</v>
      </c>
      <c r="AH192" s="35">
        <f>ROUND(IF(AQ192="0",BJ192,0),2)</f>
        <v>0</v>
      </c>
      <c r="AI192" s="46" t="s">
        <v>86</v>
      </c>
      <c r="AJ192" s="35">
        <f>IF(AN192=0,I192,0)</f>
        <v>0</v>
      </c>
      <c r="AK192" s="35">
        <f>IF(AN192=12,I192,0)</f>
        <v>0</v>
      </c>
      <c r="AL192" s="35">
        <f>IF(AN192=21,I192,0)</f>
        <v>0</v>
      </c>
      <c r="AN192" s="35">
        <v>21</v>
      </c>
      <c r="AO192" s="35">
        <f>H192*0</f>
        <v>0</v>
      </c>
      <c r="AP192" s="35">
        <f>H192*(1-0)</f>
        <v>0</v>
      </c>
      <c r="AQ192" s="62" t="s">
        <v>145</v>
      </c>
      <c r="AV192" s="35">
        <f>ROUND(AW192+AX192,2)</f>
        <v>0</v>
      </c>
      <c r="AW192" s="35">
        <f>ROUND(G192*AO192,2)</f>
        <v>0</v>
      </c>
      <c r="AX192" s="35">
        <f>ROUND(G192*AP192,2)</f>
        <v>0</v>
      </c>
      <c r="AY192" s="62" t="s">
        <v>522</v>
      </c>
      <c r="AZ192" s="62" t="s">
        <v>449</v>
      </c>
      <c r="BA192" s="46" t="s">
        <v>195</v>
      </c>
      <c r="BC192" s="35">
        <f>AW192+AX192</f>
        <v>0</v>
      </c>
      <c r="BD192" s="35">
        <f>H192/(100-BE192)*100</f>
        <v>0</v>
      </c>
      <c r="BE192" s="35">
        <v>0</v>
      </c>
      <c r="BF192" s="35">
        <f>192</f>
        <v>192</v>
      </c>
      <c r="BH192" s="35">
        <f>G192*AO192</f>
        <v>0</v>
      </c>
      <c r="BI192" s="35">
        <f>G192*AP192</f>
        <v>0</v>
      </c>
      <c r="BJ192" s="35">
        <f>G192*H192</f>
        <v>0</v>
      </c>
      <c r="BK192" s="62" t="s">
        <v>135</v>
      </c>
      <c r="BL192" s="35">
        <v>96</v>
      </c>
      <c r="BW192" s="35">
        <v>21</v>
      </c>
      <c r="BX192" s="3" t="s">
        <v>205</v>
      </c>
    </row>
    <row r="193" spans="1:76">
      <c r="A193" s="1" t="s">
        <v>538</v>
      </c>
      <c r="B193" s="2" t="s">
        <v>86</v>
      </c>
      <c r="C193" s="2" t="s">
        <v>208</v>
      </c>
      <c r="D193" s="92" t="s">
        <v>209</v>
      </c>
      <c r="E193" s="87"/>
      <c r="F193" s="2" t="s">
        <v>206</v>
      </c>
      <c r="G193" s="35">
        <v>1182.405</v>
      </c>
      <c r="H193" s="61">
        <v>0</v>
      </c>
      <c r="I193" s="35">
        <f>ROUND(G193*H193,2)</f>
        <v>0</v>
      </c>
      <c r="K193" s="51"/>
      <c r="Z193" s="35">
        <f>ROUND(IF(AQ193="5",BJ193,0),2)</f>
        <v>0</v>
      </c>
      <c r="AB193" s="35">
        <f>ROUND(IF(AQ193="1",BH193,0),2)</f>
        <v>0</v>
      </c>
      <c r="AC193" s="35">
        <f>ROUND(IF(AQ193="1",BI193,0),2)</f>
        <v>0</v>
      </c>
      <c r="AD193" s="35">
        <f>ROUND(IF(AQ193="7",BH193,0),2)</f>
        <v>0</v>
      </c>
      <c r="AE193" s="35">
        <f>ROUND(IF(AQ193="7",BI193,0),2)</f>
        <v>0</v>
      </c>
      <c r="AF193" s="35">
        <f>ROUND(IF(AQ193="2",BH193,0),2)</f>
        <v>0</v>
      </c>
      <c r="AG193" s="35">
        <f>ROUND(IF(AQ193="2",BI193,0),2)</f>
        <v>0</v>
      </c>
      <c r="AH193" s="35">
        <f>ROUND(IF(AQ193="0",BJ193,0),2)</f>
        <v>0</v>
      </c>
      <c r="AI193" s="46" t="s">
        <v>86</v>
      </c>
      <c r="AJ193" s="35">
        <f>IF(AN193=0,I193,0)</f>
        <v>0</v>
      </c>
      <c r="AK193" s="35">
        <f>IF(AN193=12,I193,0)</f>
        <v>0</v>
      </c>
      <c r="AL193" s="35">
        <f>IF(AN193=21,I193,0)</f>
        <v>0</v>
      </c>
      <c r="AN193" s="35">
        <v>21</v>
      </c>
      <c r="AO193" s="35">
        <f>H193*0</f>
        <v>0</v>
      </c>
      <c r="AP193" s="35">
        <f>H193*(1-0)</f>
        <v>0</v>
      </c>
      <c r="AQ193" s="62" t="s">
        <v>145</v>
      </c>
      <c r="AV193" s="35">
        <f>ROUND(AW193+AX193,2)</f>
        <v>0</v>
      </c>
      <c r="AW193" s="35">
        <f>ROUND(G193*AO193,2)</f>
        <v>0</v>
      </c>
      <c r="AX193" s="35">
        <f>ROUND(G193*AP193,2)</f>
        <v>0</v>
      </c>
      <c r="AY193" s="62" t="s">
        <v>522</v>
      </c>
      <c r="AZ193" s="62" t="s">
        <v>449</v>
      </c>
      <c r="BA193" s="46" t="s">
        <v>195</v>
      </c>
      <c r="BC193" s="35">
        <f>AW193+AX193</f>
        <v>0</v>
      </c>
      <c r="BD193" s="35">
        <f>H193/(100-BE193)*100</f>
        <v>0</v>
      </c>
      <c r="BE193" s="35">
        <v>0</v>
      </c>
      <c r="BF193" s="35">
        <f>193</f>
        <v>193</v>
      </c>
      <c r="BH193" s="35">
        <f>G193*AO193</f>
        <v>0</v>
      </c>
      <c r="BI193" s="35">
        <f>G193*AP193</f>
        <v>0</v>
      </c>
      <c r="BJ193" s="35">
        <f>G193*H193</f>
        <v>0</v>
      </c>
      <c r="BK193" s="62" t="s">
        <v>135</v>
      </c>
      <c r="BL193" s="35">
        <v>96</v>
      </c>
      <c r="BW193" s="35">
        <v>21</v>
      </c>
      <c r="BX193" s="3" t="s">
        <v>209</v>
      </c>
    </row>
    <row r="194" spans="1:76">
      <c r="A194" s="68"/>
      <c r="D194" s="69" t="s">
        <v>539</v>
      </c>
      <c r="E194" s="70" t="s">
        <v>4</v>
      </c>
      <c r="G194" s="71">
        <v>1182.405</v>
      </c>
      <c r="K194" s="51"/>
    </row>
    <row r="195" spans="1:76">
      <c r="A195" s="1" t="s">
        <v>506</v>
      </c>
      <c r="B195" s="2" t="s">
        <v>86</v>
      </c>
      <c r="C195" s="2" t="s">
        <v>540</v>
      </c>
      <c r="D195" s="92" t="s">
        <v>541</v>
      </c>
      <c r="E195" s="87"/>
      <c r="F195" s="2" t="s">
        <v>206</v>
      </c>
      <c r="G195" s="35">
        <v>78.826999999999998</v>
      </c>
      <c r="H195" s="61">
        <v>0</v>
      </c>
      <c r="I195" s="35">
        <f>ROUND(G195*H195,2)</f>
        <v>0</v>
      </c>
      <c r="K195" s="51"/>
      <c r="Z195" s="35">
        <f>ROUND(IF(AQ195="5",BJ195,0),2)</f>
        <v>0</v>
      </c>
      <c r="AB195" s="35">
        <f>ROUND(IF(AQ195="1",BH195,0),2)</f>
        <v>0</v>
      </c>
      <c r="AC195" s="35">
        <f>ROUND(IF(AQ195="1",BI195,0),2)</f>
        <v>0</v>
      </c>
      <c r="AD195" s="35">
        <f>ROUND(IF(AQ195="7",BH195,0),2)</f>
        <v>0</v>
      </c>
      <c r="AE195" s="35">
        <f>ROUND(IF(AQ195="7",BI195,0),2)</f>
        <v>0</v>
      </c>
      <c r="AF195" s="35">
        <f>ROUND(IF(AQ195="2",BH195,0),2)</f>
        <v>0</v>
      </c>
      <c r="AG195" s="35">
        <f>ROUND(IF(AQ195="2",BI195,0),2)</f>
        <v>0</v>
      </c>
      <c r="AH195" s="35">
        <f>ROUND(IF(AQ195="0",BJ195,0),2)</f>
        <v>0</v>
      </c>
      <c r="AI195" s="46" t="s">
        <v>86</v>
      </c>
      <c r="AJ195" s="35">
        <f>IF(AN195=0,I195,0)</f>
        <v>0</v>
      </c>
      <c r="AK195" s="35">
        <f>IF(AN195=12,I195,0)</f>
        <v>0</v>
      </c>
      <c r="AL195" s="35">
        <f>IF(AN195=21,I195,0)</f>
        <v>0</v>
      </c>
      <c r="AN195" s="35">
        <v>21</v>
      </c>
      <c r="AO195" s="35">
        <f>H195*0</f>
        <v>0</v>
      </c>
      <c r="AP195" s="35">
        <f>H195*(1-0)</f>
        <v>0</v>
      </c>
      <c r="AQ195" s="62" t="s">
        <v>145</v>
      </c>
      <c r="AV195" s="35">
        <f>ROUND(AW195+AX195,2)</f>
        <v>0</v>
      </c>
      <c r="AW195" s="35">
        <f>ROUND(G195*AO195,2)</f>
        <v>0</v>
      </c>
      <c r="AX195" s="35">
        <f>ROUND(G195*AP195,2)</f>
        <v>0</v>
      </c>
      <c r="AY195" s="62" t="s">
        <v>522</v>
      </c>
      <c r="AZ195" s="62" t="s">
        <v>449</v>
      </c>
      <c r="BA195" s="46" t="s">
        <v>195</v>
      </c>
      <c r="BC195" s="35">
        <f>AW195+AX195</f>
        <v>0</v>
      </c>
      <c r="BD195" s="35">
        <f>H195/(100-BE195)*100</f>
        <v>0</v>
      </c>
      <c r="BE195" s="35">
        <v>0</v>
      </c>
      <c r="BF195" s="35">
        <f>195</f>
        <v>195</v>
      </c>
      <c r="BH195" s="35">
        <f>G195*AO195</f>
        <v>0</v>
      </c>
      <c r="BI195" s="35">
        <f>G195*AP195</f>
        <v>0</v>
      </c>
      <c r="BJ195" s="35">
        <f>G195*H195</f>
        <v>0</v>
      </c>
      <c r="BK195" s="62" t="s">
        <v>135</v>
      </c>
      <c r="BL195" s="35">
        <v>96</v>
      </c>
      <c r="BW195" s="35">
        <v>21</v>
      </c>
      <c r="BX195" s="3" t="s">
        <v>541</v>
      </c>
    </row>
    <row r="196" spans="1:76">
      <c r="A196" s="1" t="s">
        <v>131</v>
      </c>
      <c r="B196" s="2" t="s">
        <v>86</v>
      </c>
      <c r="C196" s="2" t="s">
        <v>542</v>
      </c>
      <c r="D196" s="92" t="s">
        <v>543</v>
      </c>
      <c r="E196" s="87"/>
      <c r="F196" s="2" t="s">
        <v>206</v>
      </c>
      <c r="G196" s="35">
        <v>33.880000000000003</v>
      </c>
      <c r="H196" s="61">
        <v>0</v>
      </c>
      <c r="I196" s="35">
        <f>ROUND(G196*H196,2)</f>
        <v>0</v>
      </c>
      <c r="K196" s="51"/>
      <c r="Z196" s="35">
        <f>ROUND(IF(AQ196="5",BJ196,0),2)</f>
        <v>0</v>
      </c>
      <c r="AB196" s="35">
        <f>ROUND(IF(AQ196="1",BH196,0),2)</f>
        <v>0</v>
      </c>
      <c r="AC196" s="35">
        <f>ROUND(IF(AQ196="1",BI196,0),2)</f>
        <v>0</v>
      </c>
      <c r="AD196" s="35">
        <f>ROUND(IF(AQ196="7",BH196,0),2)</f>
        <v>0</v>
      </c>
      <c r="AE196" s="35">
        <f>ROUND(IF(AQ196="7",BI196,0),2)</f>
        <v>0</v>
      </c>
      <c r="AF196" s="35">
        <f>ROUND(IF(AQ196="2",BH196,0),2)</f>
        <v>0</v>
      </c>
      <c r="AG196" s="35">
        <f>ROUND(IF(AQ196="2",BI196,0),2)</f>
        <v>0</v>
      </c>
      <c r="AH196" s="35">
        <f>ROUND(IF(AQ196="0",BJ196,0),2)</f>
        <v>0</v>
      </c>
      <c r="AI196" s="46" t="s">
        <v>86</v>
      </c>
      <c r="AJ196" s="35">
        <f>IF(AN196=0,I196,0)</f>
        <v>0</v>
      </c>
      <c r="AK196" s="35">
        <f>IF(AN196=12,I196,0)</f>
        <v>0</v>
      </c>
      <c r="AL196" s="35">
        <f>IF(AN196=21,I196,0)</f>
        <v>0</v>
      </c>
      <c r="AN196" s="35">
        <v>21</v>
      </c>
      <c r="AO196" s="35">
        <f>H196*0</f>
        <v>0</v>
      </c>
      <c r="AP196" s="35">
        <f>H196*(1-0)</f>
        <v>0</v>
      </c>
      <c r="AQ196" s="62" t="s">
        <v>145</v>
      </c>
      <c r="AV196" s="35">
        <f>ROUND(AW196+AX196,2)</f>
        <v>0</v>
      </c>
      <c r="AW196" s="35">
        <f>ROUND(G196*AO196,2)</f>
        <v>0</v>
      </c>
      <c r="AX196" s="35">
        <f>ROUND(G196*AP196,2)</f>
        <v>0</v>
      </c>
      <c r="AY196" s="62" t="s">
        <v>522</v>
      </c>
      <c r="AZ196" s="62" t="s">
        <v>449</v>
      </c>
      <c r="BA196" s="46" t="s">
        <v>195</v>
      </c>
      <c r="BC196" s="35">
        <f>AW196+AX196</f>
        <v>0</v>
      </c>
      <c r="BD196" s="35">
        <f>H196/(100-BE196)*100</f>
        <v>0</v>
      </c>
      <c r="BE196" s="35">
        <v>0</v>
      </c>
      <c r="BF196" s="35">
        <f>196</f>
        <v>196</v>
      </c>
      <c r="BH196" s="35">
        <f>G196*AO196</f>
        <v>0</v>
      </c>
      <c r="BI196" s="35">
        <f>G196*AP196</f>
        <v>0</v>
      </c>
      <c r="BJ196" s="35">
        <f>G196*H196</f>
        <v>0</v>
      </c>
      <c r="BK196" s="62" t="s">
        <v>135</v>
      </c>
      <c r="BL196" s="35">
        <v>96</v>
      </c>
      <c r="BW196" s="35">
        <v>21</v>
      </c>
      <c r="BX196" s="3" t="s">
        <v>543</v>
      </c>
    </row>
    <row r="197" spans="1:76">
      <c r="A197" s="68"/>
      <c r="D197" s="69" t="s">
        <v>544</v>
      </c>
      <c r="E197" s="70" t="s">
        <v>218</v>
      </c>
      <c r="G197" s="71">
        <v>33.880000000000003</v>
      </c>
      <c r="K197" s="51"/>
    </row>
    <row r="198" spans="1:76">
      <c r="A198" s="1" t="s">
        <v>545</v>
      </c>
      <c r="B198" s="2" t="s">
        <v>86</v>
      </c>
      <c r="C198" s="2" t="s">
        <v>546</v>
      </c>
      <c r="D198" s="92" t="s">
        <v>547</v>
      </c>
      <c r="E198" s="87"/>
      <c r="F198" s="2" t="s">
        <v>206</v>
      </c>
      <c r="G198" s="35">
        <v>44.947000000000003</v>
      </c>
      <c r="H198" s="61">
        <v>0</v>
      </c>
      <c r="I198" s="35">
        <f>ROUND(G198*H198,2)</f>
        <v>0</v>
      </c>
      <c r="K198" s="51"/>
      <c r="Z198" s="35">
        <f>ROUND(IF(AQ198="5",BJ198,0),2)</f>
        <v>0</v>
      </c>
      <c r="AB198" s="35">
        <f>ROUND(IF(AQ198="1",BH198,0),2)</f>
        <v>0</v>
      </c>
      <c r="AC198" s="35">
        <f>ROUND(IF(AQ198="1",BI198,0),2)</f>
        <v>0</v>
      </c>
      <c r="AD198" s="35">
        <f>ROUND(IF(AQ198="7",BH198,0),2)</f>
        <v>0</v>
      </c>
      <c r="AE198" s="35">
        <f>ROUND(IF(AQ198="7",BI198,0),2)</f>
        <v>0</v>
      </c>
      <c r="AF198" s="35">
        <f>ROUND(IF(AQ198="2",BH198,0),2)</f>
        <v>0</v>
      </c>
      <c r="AG198" s="35">
        <f>ROUND(IF(AQ198="2",BI198,0),2)</f>
        <v>0</v>
      </c>
      <c r="AH198" s="35">
        <f>ROUND(IF(AQ198="0",BJ198,0),2)</f>
        <v>0</v>
      </c>
      <c r="AI198" s="46" t="s">
        <v>86</v>
      </c>
      <c r="AJ198" s="35">
        <f>IF(AN198=0,I198,0)</f>
        <v>0</v>
      </c>
      <c r="AK198" s="35">
        <f>IF(AN198=12,I198,0)</f>
        <v>0</v>
      </c>
      <c r="AL198" s="35">
        <f>IF(AN198=21,I198,0)</f>
        <v>0</v>
      </c>
      <c r="AN198" s="35">
        <v>21</v>
      </c>
      <c r="AO198" s="35">
        <f>H198*0</f>
        <v>0</v>
      </c>
      <c r="AP198" s="35">
        <f>H198*(1-0)</f>
        <v>0</v>
      </c>
      <c r="AQ198" s="62" t="s">
        <v>145</v>
      </c>
      <c r="AV198" s="35">
        <f>ROUND(AW198+AX198,2)</f>
        <v>0</v>
      </c>
      <c r="AW198" s="35">
        <f>ROUND(G198*AO198,2)</f>
        <v>0</v>
      </c>
      <c r="AX198" s="35">
        <f>ROUND(G198*AP198,2)</f>
        <v>0</v>
      </c>
      <c r="AY198" s="62" t="s">
        <v>522</v>
      </c>
      <c r="AZ198" s="62" t="s">
        <v>449</v>
      </c>
      <c r="BA198" s="46" t="s">
        <v>195</v>
      </c>
      <c r="BC198" s="35">
        <f>AW198+AX198</f>
        <v>0</v>
      </c>
      <c r="BD198" s="35">
        <f>H198/(100-BE198)*100</f>
        <v>0</v>
      </c>
      <c r="BE198" s="35">
        <v>0</v>
      </c>
      <c r="BF198" s="35">
        <f>198</f>
        <v>198</v>
      </c>
      <c r="BH198" s="35">
        <f>G198*AO198</f>
        <v>0</v>
      </c>
      <c r="BI198" s="35">
        <f>G198*AP198</f>
        <v>0</v>
      </c>
      <c r="BJ198" s="35">
        <f>G198*H198</f>
        <v>0</v>
      </c>
      <c r="BK198" s="62" t="s">
        <v>135</v>
      </c>
      <c r="BL198" s="35">
        <v>96</v>
      </c>
      <c r="BW198" s="35">
        <v>21</v>
      </c>
      <c r="BX198" s="3" t="s">
        <v>547</v>
      </c>
    </row>
    <row r="199" spans="1:76">
      <c r="A199" s="68"/>
      <c r="D199" s="69" t="s">
        <v>548</v>
      </c>
      <c r="E199" s="70" t="s">
        <v>4</v>
      </c>
      <c r="G199" s="71">
        <v>44.947000000000003</v>
      </c>
      <c r="K199" s="51"/>
    </row>
    <row r="200" spans="1:76">
      <c r="A200" s="1" t="s">
        <v>549</v>
      </c>
      <c r="B200" s="2" t="s">
        <v>86</v>
      </c>
      <c r="C200" s="2" t="s">
        <v>550</v>
      </c>
      <c r="D200" s="92" t="s">
        <v>551</v>
      </c>
      <c r="E200" s="87"/>
      <c r="F200" s="2" t="s">
        <v>282</v>
      </c>
      <c r="G200" s="35">
        <v>303</v>
      </c>
      <c r="H200" s="61">
        <v>0</v>
      </c>
      <c r="I200" s="35">
        <f>ROUND(G200*H200,2)</f>
        <v>0</v>
      </c>
      <c r="K200" s="51"/>
      <c r="Z200" s="35">
        <f>ROUND(IF(AQ200="5",BJ200,0),2)</f>
        <v>0</v>
      </c>
      <c r="AB200" s="35">
        <f>ROUND(IF(AQ200="1",BH200,0),2)</f>
        <v>0</v>
      </c>
      <c r="AC200" s="35">
        <f>ROUND(IF(AQ200="1",BI200,0),2)</f>
        <v>0</v>
      </c>
      <c r="AD200" s="35">
        <f>ROUND(IF(AQ200="7",BH200,0),2)</f>
        <v>0</v>
      </c>
      <c r="AE200" s="35">
        <f>ROUND(IF(AQ200="7",BI200,0),2)</f>
        <v>0</v>
      </c>
      <c r="AF200" s="35">
        <f>ROUND(IF(AQ200="2",BH200,0),2)</f>
        <v>0</v>
      </c>
      <c r="AG200" s="35">
        <f>ROUND(IF(AQ200="2",BI200,0),2)</f>
        <v>0</v>
      </c>
      <c r="AH200" s="35">
        <f>ROUND(IF(AQ200="0",BJ200,0),2)</f>
        <v>0</v>
      </c>
      <c r="AI200" s="46" t="s">
        <v>86</v>
      </c>
      <c r="AJ200" s="35">
        <f>IF(AN200=0,I200,0)</f>
        <v>0</v>
      </c>
      <c r="AK200" s="35">
        <f>IF(AN200=12,I200,0)</f>
        <v>0</v>
      </c>
      <c r="AL200" s="35">
        <f>IF(AN200=21,I200,0)</f>
        <v>0</v>
      </c>
      <c r="AN200" s="35">
        <v>21</v>
      </c>
      <c r="AO200" s="35">
        <f>H200*0.297451737</f>
        <v>0</v>
      </c>
      <c r="AP200" s="35">
        <f>H200*(1-0.297451737)</f>
        <v>0</v>
      </c>
      <c r="AQ200" s="62" t="s">
        <v>136</v>
      </c>
      <c r="AV200" s="35">
        <f>ROUND(AW200+AX200,2)</f>
        <v>0</v>
      </c>
      <c r="AW200" s="35">
        <f>ROUND(G200*AO200,2)</f>
        <v>0</v>
      </c>
      <c r="AX200" s="35">
        <f>ROUND(G200*AP200,2)</f>
        <v>0</v>
      </c>
      <c r="AY200" s="62" t="s">
        <v>522</v>
      </c>
      <c r="AZ200" s="62" t="s">
        <v>449</v>
      </c>
      <c r="BA200" s="46" t="s">
        <v>195</v>
      </c>
      <c r="BC200" s="35">
        <f>AW200+AX200</f>
        <v>0</v>
      </c>
      <c r="BD200" s="35">
        <f>H200/(100-BE200)*100</f>
        <v>0</v>
      </c>
      <c r="BE200" s="35">
        <v>0</v>
      </c>
      <c r="BF200" s="35">
        <f>200</f>
        <v>200</v>
      </c>
      <c r="BH200" s="35">
        <f>G200*AO200</f>
        <v>0</v>
      </c>
      <c r="BI200" s="35">
        <f>G200*AP200</f>
        <v>0</v>
      </c>
      <c r="BJ200" s="35">
        <f>G200*H200</f>
        <v>0</v>
      </c>
      <c r="BK200" s="62" t="s">
        <v>135</v>
      </c>
      <c r="BL200" s="35">
        <v>96</v>
      </c>
      <c r="BW200" s="35">
        <v>21</v>
      </c>
      <c r="BX200" s="3" t="s">
        <v>551</v>
      </c>
    </row>
    <row r="201" spans="1:76" ht="13.5" customHeight="1">
      <c r="A201" s="68"/>
      <c r="C201" s="72" t="s">
        <v>337</v>
      </c>
      <c r="D201" s="178" t="s">
        <v>552</v>
      </c>
      <c r="E201" s="179"/>
      <c r="F201" s="179"/>
      <c r="G201" s="179"/>
      <c r="H201" s="180"/>
      <c r="I201" s="179"/>
      <c r="J201" s="179"/>
      <c r="K201" s="181"/>
    </row>
    <row r="202" spans="1:76">
      <c r="A202" s="68"/>
      <c r="D202" s="69" t="s">
        <v>451</v>
      </c>
      <c r="E202" s="70" t="s">
        <v>553</v>
      </c>
      <c r="G202" s="71">
        <v>303</v>
      </c>
      <c r="K202" s="51"/>
    </row>
    <row r="203" spans="1:76">
      <c r="A203" s="1" t="s">
        <v>554</v>
      </c>
      <c r="B203" s="2" t="s">
        <v>86</v>
      </c>
      <c r="C203" s="2" t="s">
        <v>555</v>
      </c>
      <c r="D203" s="92" t="s">
        <v>556</v>
      </c>
      <c r="E203" s="87"/>
      <c r="F203" s="2" t="s">
        <v>282</v>
      </c>
      <c r="G203" s="35">
        <v>303</v>
      </c>
      <c r="H203" s="61">
        <v>0</v>
      </c>
      <c r="I203" s="35">
        <f>ROUND(G203*H203,2)</f>
        <v>0</v>
      </c>
      <c r="K203" s="51"/>
      <c r="Z203" s="35">
        <f>ROUND(IF(AQ203="5",BJ203,0),2)</f>
        <v>0</v>
      </c>
      <c r="AB203" s="35">
        <f>ROUND(IF(AQ203="1",BH203,0),2)</f>
        <v>0</v>
      </c>
      <c r="AC203" s="35">
        <f>ROUND(IF(AQ203="1",BI203,0),2)</f>
        <v>0</v>
      </c>
      <c r="AD203" s="35">
        <f>ROUND(IF(AQ203="7",BH203,0),2)</f>
        <v>0</v>
      </c>
      <c r="AE203" s="35">
        <f>ROUND(IF(AQ203="7",BI203,0),2)</f>
        <v>0</v>
      </c>
      <c r="AF203" s="35">
        <f>ROUND(IF(AQ203="2",BH203,0),2)</f>
        <v>0</v>
      </c>
      <c r="AG203" s="35">
        <f>ROUND(IF(AQ203="2",BI203,0),2)</f>
        <v>0</v>
      </c>
      <c r="AH203" s="35">
        <f>ROUND(IF(AQ203="0",BJ203,0),2)</f>
        <v>0</v>
      </c>
      <c r="AI203" s="46" t="s">
        <v>86</v>
      </c>
      <c r="AJ203" s="35">
        <f>IF(AN203=0,I203,0)</f>
        <v>0</v>
      </c>
      <c r="AK203" s="35">
        <f>IF(AN203=12,I203,0)</f>
        <v>0</v>
      </c>
      <c r="AL203" s="35">
        <f>IF(AN203=21,I203,0)</f>
        <v>0</v>
      </c>
      <c r="AN203" s="35">
        <v>21</v>
      </c>
      <c r="AO203" s="35">
        <f>H203*0.113687026</f>
        <v>0</v>
      </c>
      <c r="AP203" s="35">
        <f>H203*(1-0.113687026)</f>
        <v>0</v>
      </c>
      <c r="AQ203" s="62" t="s">
        <v>127</v>
      </c>
      <c r="AV203" s="35">
        <f>ROUND(AW203+AX203,2)</f>
        <v>0</v>
      </c>
      <c r="AW203" s="35">
        <f>ROUND(G203*AO203,2)</f>
        <v>0</v>
      </c>
      <c r="AX203" s="35">
        <f>ROUND(G203*AP203,2)</f>
        <v>0</v>
      </c>
      <c r="AY203" s="62" t="s">
        <v>522</v>
      </c>
      <c r="AZ203" s="62" t="s">
        <v>449</v>
      </c>
      <c r="BA203" s="46" t="s">
        <v>195</v>
      </c>
      <c r="BC203" s="35">
        <f>AW203+AX203</f>
        <v>0</v>
      </c>
      <c r="BD203" s="35">
        <f>H203/(100-BE203)*100</f>
        <v>0</v>
      </c>
      <c r="BE203" s="35">
        <v>0</v>
      </c>
      <c r="BF203" s="35">
        <f>203</f>
        <v>203</v>
      </c>
      <c r="BH203" s="35">
        <f>G203*AO203</f>
        <v>0</v>
      </c>
      <c r="BI203" s="35">
        <f>G203*AP203</f>
        <v>0</v>
      </c>
      <c r="BJ203" s="35">
        <f>G203*H203</f>
        <v>0</v>
      </c>
      <c r="BK203" s="62" t="s">
        <v>135</v>
      </c>
      <c r="BL203" s="35">
        <v>96</v>
      </c>
      <c r="BW203" s="35">
        <v>21</v>
      </c>
      <c r="BX203" s="3" t="s">
        <v>556</v>
      </c>
    </row>
    <row r="204" spans="1:76">
      <c r="A204" s="57" t="s">
        <v>4</v>
      </c>
      <c r="B204" s="58" t="s">
        <v>86</v>
      </c>
      <c r="C204" s="58" t="s">
        <v>131</v>
      </c>
      <c r="D204" s="174" t="s">
        <v>557</v>
      </c>
      <c r="E204" s="175"/>
      <c r="F204" s="59" t="s">
        <v>79</v>
      </c>
      <c r="G204" s="59" t="s">
        <v>79</v>
      </c>
      <c r="H204" s="60" t="s">
        <v>79</v>
      </c>
      <c r="I204" s="40">
        <f>SUM(I205:I205)</f>
        <v>0</v>
      </c>
      <c r="K204" s="51"/>
      <c r="AI204" s="46" t="s">
        <v>86</v>
      </c>
      <c r="AS204" s="40">
        <f>SUM(AJ205:AJ205)</f>
        <v>0</v>
      </c>
      <c r="AT204" s="40">
        <f>SUM(AK205:AK205)</f>
        <v>0</v>
      </c>
      <c r="AU204" s="40">
        <f>SUM(AL205:AL205)</f>
        <v>0</v>
      </c>
    </row>
    <row r="205" spans="1:76">
      <c r="A205" s="1" t="s">
        <v>558</v>
      </c>
      <c r="B205" s="2" t="s">
        <v>86</v>
      </c>
      <c r="C205" s="2" t="s">
        <v>559</v>
      </c>
      <c r="D205" s="92" t="s">
        <v>560</v>
      </c>
      <c r="E205" s="87"/>
      <c r="F205" s="2" t="s">
        <v>206</v>
      </c>
      <c r="G205" s="35">
        <v>602.64800000000002</v>
      </c>
      <c r="H205" s="61">
        <v>0</v>
      </c>
      <c r="I205" s="35">
        <f>ROUND(G205*H205,2)</f>
        <v>0</v>
      </c>
      <c r="K205" s="51"/>
      <c r="Z205" s="35">
        <f>ROUND(IF(AQ205="5",BJ205,0),2)</f>
        <v>0</v>
      </c>
      <c r="AB205" s="35">
        <f>ROUND(IF(AQ205="1",BH205,0),2)</f>
        <v>0</v>
      </c>
      <c r="AC205" s="35">
        <f>ROUND(IF(AQ205="1",BI205,0),2)</f>
        <v>0</v>
      </c>
      <c r="AD205" s="35">
        <f>ROUND(IF(AQ205="7",BH205,0),2)</f>
        <v>0</v>
      </c>
      <c r="AE205" s="35">
        <f>ROUND(IF(AQ205="7",BI205,0),2)</f>
        <v>0</v>
      </c>
      <c r="AF205" s="35">
        <f>ROUND(IF(AQ205="2",BH205,0),2)</f>
        <v>0</v>
      </c>
      <c r="AG205" s="35">
        <f>ROUND(IF(AQ205="2",BI205,0),2)</f>
        <v>0</v>
      </c>
      <c r="AH205" s="35">
        <f>ROUND(IF(AQ205="0",BJ205,0),2)</f>
        <v>0</v>
      </c>
      <c r="AI205" s="46" t="s">
        <v>86</v>
      </c>
      <c r="AJ205" s="35">
        <f>IF(AN205=0,I205,0)</f>
        <v>0</v>
      </c>
      <c r="AK205" s="35">
        <f>IF(AN205=12,I205,0)</f>
        <v>0</v>
      </c>
      <c r="AL205" s="35">
        <f>IF(AN205=21,I205,0)</f>
        <v>0</v>
      </c>
      <c r="AN205" s="35">
        <v>21</v>
      </c>
      <c r="AO205" s="35">
        <f>H205*0</f>
        <v>0</v>
      </c>
      <c r="AP205" s="35">
        <f>H205*(1-0)</f>
        <v>0</v>
      </c>
      <c r="AQ205" s="62" t="s">
        <v>145</v>
      </c>
      <c r="AV205" s="35">
        <f>ROUND(AW205+AX205,2)</f>
        <v>0</v>
      </c>
      <c r="AW205" s="35">
        <f>ROUND(G205*AO205,2)</f>
        <v>0</v>
      </c>
      <c r="AX205" s="35">
        <f>ROUND(G205*AP205,2)</f>
        <v>0</v>
      </c>
      <c r="AY205" s="62" t="s">
        <v>561</v>
      </c>
      <c r="AZ205" s="62" t="s">
        <v>449</v>
      </c>
      <c r="BA205" s="46" t="s">
        <v>195</v>
      </c>
      <c r="BC205" s="35">
        <f>AW205+AX205</f>
        <v>0</v>
      </c>
      <c r="BD205" s="35">
        <f>H205/(100-BE205)*100</f>
        <v>0</v>
      </c>
      <c r="BE205" s="35">
        <v>0</v>
      </c>
      <c r="BF205" s="35">
        <f>205</f>
        <v>205</v>
      </c>
      <c r="BH205" s="35">
        <f>G205*AO205</f>
        <v>0</v>
      </c>
      <c r="BI205" s="35">
        <f>G205*AP205</f>
        <v>0</v>
      </c>
      <c r="BJ205" s="35">
        <f>G205*H205</f>
        <v>0</v>
      </c>
      <c r="BK205" s="62" t="s">
        <v>135</v>
      </c>
      <c r="BL205" s="35">
        <v>99</v>
      </c>
      <c r="BW205" s="35">
        <v>21</v>
      </c>
      <c r="BX205" s="3" t="s">
        <v>560</v>
      </c>
    </row>
    <row r="206" spans="1:76">
      <c r="A206" s="57" t="s">
        <v>4</v>
      </c>
      <c r="B206" s="58" t="s">
        <v>86</v>
      </c>
      <c r="C206" s="58" t="s">
        <v>562</v>
      </c>
      <c r="D206" s="174" t="s">
        <v>563</v>
      </c>
      <c r="E206" s="175"/>
      <c r="F206" s="59" t="s">
        <v>79</v>
      </c>
      <c r="G206" s="59" t="s">
        <v>79</v>
      </c>
      <c r="H206" s="60" t="s">
        <v>79</v>
      </c>
      <c r="I206" s="40">
        <f>SUM(I207:I212)</f>
        <v>0</v>
      </c>
      <c r="K206" s="51"/>
      <c r="AI206" s="46" t="s">
        <v>86</v>
      </c>
      <c r="AS206" s="40">
        <f>SUM(AJ207:AJ212)</f>
        <v>0</v>
      </c>
      <c r="AT206" s="40">
        <f>SUM(AK207:AK212)</f>
        <v>0</v>
      </c>
      <c r="AU206" s="40">
        <f>SUM(AL207:AL212)</f>
        <v>0</v>
      </c>
    </row>
    <row r="207" spans="1:76">
      <c r="A207" s="1" t="s">
        <v>564</v>
      </c>
      <c r="B207" s="2" t="s">
        <v>86</v>
      </c>
      <c r="C207" s="2" t="s">
        <v>565</v>
      </c>
      <c r="D207" s="92" t="s">
        <v>566</v>
      </c>
      <c r="E207" s="87"/>
      <c r="F207" s="2" t="s">
        <v>192</v>
      </c>
      <c r="G207" s="35">
        <v>8</v>
      </c>
      <c r="H207" s="61">
        <v>0</v>
      </c>
      <c r="I207" s="35">
        <f>ROUND(G207*H207,2)</f>
        <v>0</v>
      </c>
      <c r="K207" s="51"/>
      <c r="Z207" s="35">
        <f>ROUND(IF(AQ207="5",BJ207,0),2)</f>
        <v>0</v>
      </c>
      <c r="AB207" s="35">
        <f>ROUND(IF(AQ207="1",BH207,0),2)</f>
        <v>0</v>
      </c>
      <c r="AC207" s="35">
        <f>ROUND(IF(AQ207="1",BI207,0),2)</f>
        <v>0</v>
      </c>
      <c r="AD207" s="35">
        <f>ROUND(IF(AQ207="7",BH207,0),2)</f>
        <v>0</v>
      </c>
      <c r="AE207" s="35">
        <f>ROUND(IF(AQ207="7",BI207,0),2)</f>
        <v>0</v>
      </c>
      <c r="AF207" s="35">
        <f>ROUND(IF(AQ207="2",BH207,0),2)</f>
        <v>0</v>
      </c>
      <c r="AG207" s="35">
        <f>ROUND(IF(AQ207="2",BI207,0),2)</f>
        <v>0</v>
      </c>
      <c r="AH207" s="35">
        <f>ROUND(IF(AQ207="0",BJ207,0),2)</f>
        <v>0</v>
      </c>
      <c r="AI207" s="46" t="s">
        <v>86</v>
      </c>
      <c r="AJ207" s="35">
        <f>IF(AN207=0,I207,0)</f>
        <v>0</v>
      </c>
      <c r="AK207" s="35">
        <f>IF(AN207=12,I207,0)</f>
        <v>0</v>
      </c>
      <c r="AL207" s="35">
        <f>IF(AN207=21,I207,0)</f>
        <v>0</v>
      </c>
      <c r="AN207" s="35">
        <v>21</v>
      </c>
      <c r="AO207" s="35">
        <f>H207*0</f>
        <v>0</v>
      </c>
      <c r="AP207" s="35">
        <f>H207*(1-0)</f>
        <v>0</v>
      </c>
      <c r="AQ207" s="62" t="s">
        <v>151</v>
      </c>
      <c r="AV207" s="35">
        <f>ROUND(AW207+AX207,2)</f>
        <v>0</v>
      </c>
      <c r="AW207" s="35">
        <f>ROUND(G207*AO207,2)</f>
        <v>0</v>
      </c>
      <c r="AX207" s="35">
        <f>ROUND(G207*AP207,2)</f>
        <v>0</v>
      </c>
      <c r="AY207" s="62" t="s">
        <v>567</v>
      </c>
      <c r="AZ207" s="62" t="s">
        <v>568</v>
      </c>
      <c r="BA207" s="46" t="s">
        <v>195</v>
      </c>
      <c r="BC207" s="35">
        <f>AW207+AX207</f>
        <v>0</v>
      </c>
      <c r="BD207" s="35">
        <f>H207/(100-BE207)*100</f>
        <v>0</v>
      </c>
      <c r="BE207" s="35">
        <v>0</v>
      </c>
      <c r="BF207" s="35">
        <f>207</f>
        <v>207</v>
      </c>
      <c r="BH207" s="35">
        <f>G207*AO207</f>
        <v>0</v>
      </c>
      <c r="BI207" s="35">
        <f>G207*AP207</f>
        <v>0</v>
      </c>
      <c r="BJ207" s="35">
        <f>G207*H207</f>
        <v>0</v>
      </c>
      <c r="BK207" s="62" t="s">
        <v>135</v>
      </c>
      <c r="BL207" s="35">
        <v>711</v>
      </c>
      <c r="BW207" s="35">
        <v>21</v>
      </c>
      <c r="BX207" s="3" t="s">
        <v>566</v>
      </c>
    </row>
    <row r="208" spans="1:76" ht="13.5" customHeight="1">
      <c r="A208" s="68"/>
      <c r="C208" s="72" t="s">
        <v>337</v>
      </c>
      <c r="D208" s="178" t="s">
        <v>569</v>
      </c>
      <c r="E208" s="179"/>
      <c r="F208" s="179"/>
      <c r="G208" s="179"/>
      <c r="H208" s="180"/>
      <c r="I208" s="179"/>
      <c r="J208" s="179"/>
      <c r="K208" s="181"/>
    </row>
    <row r="209" spans="1:76">
      <c r="A209" s="68"/>
      <c r="D209" s="69" t="s">
        <v>154</v>
      </c>
      <c r="E209" s="70" t="s">
        <v>570</v>
      </c>
      <c r="G209" s="71">
        <v>8</v>
      </c>
      <c r="K209" s="51"/>
    </row>
    <row r="210" spans="1:76">
      <c r="A210" s="1" t="s">
        <v>571</v>
      </c>
      <c r="B210" s="2" t="s">
        <v>86</v>
      </c>
      <c r="C210" s="2" t="s">
        <v>572</v>
      </c>
      <c r="D210" s="92" t="s">
        <v>573</v>
      </c>
      <c r="E210" s="87"/>
      <c r="F210" s="2" t="s">
        <v>192</v>
      </c>
      <c r="G210" s="35">
        <v>9.1999999999999993</v>
      </c>
      <c r="H210" s="61">
        <v>0</v>
      </c>
      <c r="I210" s="35">
        <f>ROUND(G210*H210,2)</f>
        <v>0</v>
      </c>
      <c r="K210" s="51"/>
      <c r="Z210" s="35">
        <f>ROUND(IF(AQ210="5",BJ210,0),2)</f>
        <v>0</v>
      </c>
      <c r="AB210" s="35">
        <f>ROUND(IF(AQ210="1",BH210,0),2)</f>
        <v>0</v>
      </c>
      <c r="AC210" s="35">
        <f>ROUND(IF(AQ210="1",BI210,0),2)</f>
        <v>0</v>
      </c>
      <c r="AD210" s="35">
        <f>ROUND(IF(AQ210="7",BH210,0),2)</f>
        <v>0</v>
      </c>
      <c r="AE210" s="35">
        <f>ROUND(IF(AQ210="7",BI210,0),2)</f>
        <v>0</v>
      </c>
      <c r="AF210" s="35">
        <f>ROUND(IF(AQ210="2",BH210,0),2)</f>
        <v>0</v>
      </c>
      <c r="AG210" s="35">
        <f>ROUND(IF(AQ210="2",BI210,0),2)</f>
        <v>0</v>
      </c>
      <c r="AH210" s="35">
        <f>ROUND(IF(AQ210="0",BJ210,0),2)</f>
        <v>0</v>
      </c>
      <c r="AI210" s="46" t="s">
        <v>86</v>
      </c>
      <c r="AJ210" s="35">
        <f>IF(AN210=0,I210,0)</f>
        <v>0</v>
      </c>
      <c r="AK210" s="35">
        <f>IF(AN210=12,I210,0)</f>
        <v>0</v>
      </c>
      <c r="AL210" s="35">
        <f>IF(AN210=21,I210,0)</f>
        <v>0</v>
      </c>
      <c r="AN210" s="35">
        <v>21</v>
      </c>
      <c r="AO210" s="35">
        <f>H210*1</f>
        <v>0</v>
      </c>
      <c r="AP210" s="35">
        <f>H210*(1-1)</f>
        <v>0</v>
      </c>
      <c r="AQ210" s="62" t="s">
        <v>151</v>
      </c>
      <c r="AV210" s="35">
        <f>ROUND(AW210+AX210,2)</f>
        <v>0</v>
      </c>
      <c r="AW210" s="35">
        <f>ROUND(G210*AO210,2)</f>
        <v>0</v>
      </c>
      <c r="AX210" s="35">
        <f>ROUND(G210*AP210,2)</f>
        <v>0</v>
      </c>
      <c r="AY210" s="62" t="s">
        <v>567</v>
      </c>
      <c r="AZ210" s="62" t="s">
        <v>568</v>
      </c>
      <c r="BA210" s="46" t="s">
        <v>195</v>
      </c>
      <c r="BC210" s="35">
        <f>AW210+AX210</f>
        <v>0</v>
      </c>
      <c r="BD210" s="35">
        <f>H210/(100-BE210)*100</f>
        <v>0</v>
      </c>
      <c r="BE210" s="35">
        <v>0</v>
      </c>
      <c r="BF210" s="35">
        <f>210</f>
        <v>210</v>
      </c>
      <c r="BH210" s="35">
        <f>G210*AO210</f>
        <v>0</v>
      </c>
      <c r="BI210" s="35">
        <f>G210*AP210</f>
        <v>0</v>
      </c>
      <c r="BJ210" s="35">
        <f>G210*H210</f>
        <v>0</v>
      </c>
      <c r="BK210" s="62" t="s">
        <v>277</v>
      </c>
      <c r="BL210" s="35">
        <v>711</v>
      </c>
      <c r="BW210" s="35">
        <v>21</v>
      </c>
      <c r="BX210" s="3" t="s">
        <v>573</v>
      </c>
    </row>
    <row r="211" spans="1:76">
      <c r="A211" s="68"/>
      <c r="D211" s="69" t="s">
        <v>574</v>
      </c>
      <c r="E211" s="70" t="s">
        <v>4</v>
      </c>
      <c r="G211" s="71">
        <v>9.1999999999999993</v>
      </c>
      <c r="K211" s="51"/>
    </row>
    <row r="212" spans="1:76">
      <c r="A212" s="1" t="s">
        <v>201</v>
      </c>
      <c r="B212" s="2" t="s">
        <v>86</v>
      </c>
      <c r="C212" s="2" t="s">
        <v>575</v>
      </c>
      <c r="D212" s="92" t="s">
        <v>576</v>
      </c>
      <c r="E212" s="87"/>
      <c r="F212" s="2" t="s">
        <v>206</v>
      </c>
      <c r="G212" s="35">
        <v>6.0000000000000001E-3</v>
      </c>
      <c r="H212" s="61">
        <v>0</v>
      </c>
      <c r="I212" s="35">
        <f>ROUND(G212*H212,2)</f>
        <v>0</v>
      </c>
      <c r="K212" s="51"/>
      <c r="Z212" s="35">
        <f>ROUND(IF(AQ212="5",BJ212,0),2)</f>
        <v>0</v>
      </c>
      <c r="AB212" s="35">
        <f>ROUND(IF(AQ212="1",BH212,0),2)</f>
        <v>0</v>
      </c>
      <c r="AC212" s="35">
        <f>ROUND(IF(AQ212="1",BI212,0),2)</f>
        <v>0</v>
      </c>
      <c r="AD212" s="35">
        <f>ROUND(IF(AQ212="7",BH212,0),2)</f>
        <v>0</v>
      </c>
      <c r="AE212" s="35">
        <f>ROUND(IF(AQ212="7",BI212,0),2)</f>
        <v>0</v>
      </c>
      <c r="AF212" s="35">
        <f>ROUND(IF(AQ212="2",BH212,0),2)</f>
        <v>0</v>
      </c>
      <c r="AG212" s="35">
        <f>ROUND(IF(AQ212="2",BI212,0),2)</f>
        <v>0</v>
      </c>
      <c r="AH212" s="35">
        <f>ROUND(IF(AQ212="0",BJ212,0),2)</f>
        <v>0</v>
      </c>
      <c r="AI212" s="46" t="s">
        <v>86</v>
      </c>
      <c r="AJ212" s="35">
        <f>IF(AN212=0,I212,0)</f>
        <v>0</v>
      </c>
      <c r="AK212" s="35">
        <f>IF(AN212=12,I212,0)</f>
        <v>0</v>
      </c>
      <c r="AL212" s="35">
        <f>IF(AN212=21,I212,0)</f>
        <v>0</v>
      </c>
      <c r="AN212" s="35">
        <v>21</v>
      </c>
      <c r="AO212" s="35">
        <f>H212*0</f>
        <v>0</v>
      </c>
      <c r="AP212" s="35">
        <f>H212*(1-0)</f>
        <v>0</v>
      </c>
      <c r="AQ212" s="62" t="s">
        <v>145</v>
      </c>
      <c r="AV212" s="35">
        <f>ROUND(AW212+AX212,2)</f>
        <v>0</v>
      </c>
      <c r="AW212" s="35">
        <f>ROUND(G212*AO212,2)</f>
        <v>0</v>
      </c>
      <c r="AX212" s="35">
        <f>ROUND(G212*AP212,2)</f>
        <v>0</v>
      </c>
      <c r="AY212" s="62" t="s">
        <v>567</v>
      </c>
      <c r="AZ212" s="62" t="s">
        <v>568</v>
      </c>
      <c r="BA212" s="46" t="s">
        <v>195</v>
      </c>
      <c r="BC212" s="35">
        <f>AW212+AX212</f>
        <v>0</v>
      </c>
      <c r="BD212" s="35">
        <f>H212/(100-BE212)*100</f>
        <v>0</v>
      </c>
      <c r="BE212" s="35">
        <v>0</v>
      </c>
      <c r="BF212" s="35">
        <f>212</f>
        <v>212</v>
      </c>
      <c r="BH212" s="35">
        <f>G212*AO212</f>
        <v>0</v>
      </c>
      <c r="BI212" s="35">
        <f>G212*AP212</f>
        <v>0</v>
      </c>
      <c r="BJ212" s="35">
        <f>G212*H212</f>
        <v>0</v>
      </c>
      <c r="BK212" s="62" t="s">
        <v>135</v>
      </c>
      <c r="BL212" s="35">
        <v>711</v>
      </c>
      <c r="BW212" s="35">
        <v>21</v>
      </c>
      <c r="BX212" s="3" t="s">
        <v>576</v>
      </c>
    </row>
    <row r="213" spans="1:76">
      <c r="A213" s="63" t="s">
        <v>4</v>
      </c>
      <c r="B213" s="64" t="s">
        <v>88</v>
      </c>
      <c r="C213" s="64" t="s">
        <v>4</v>
      </c>
      <c r="D213" s="176" t="s">
        <v>89</v>
      </c>
      <c r="E213" s="177"/>
      <c r="F213" s="65" t="s">
        <v>79</v>
      </c>
      <c r="G213" s="65" t="s">
        <v>79</v>
      </c>
      <c r="H213" s="66" t="s">
        <v>79</v>
      </c>
      <c r="I213" s="67">
        <f>I214+I217+I231+I248+I261</f>
        <v>0</v>
      </c>
      <c r="K213" s="51"/>
    </row>
    <row r="214" spans="1:76">
      <c r="A214" s="57" t="s">
        <v>4</v>
      </c>
      <c r="B214" s="58" t="s">
        <v>88</v>
      </c>
      <c r="C214" s="58" t="s">
        <v>162</v>
      </c>
      <c r="D214" s="174" t="s">
        <v>188</v>
      </c>
      <c r="E214" s="175"/>
      <c r="F214" s="59" t="s">
        <v>79</v>
      </c>
      <c r="G214" s="59" t="s">
        <v>79</v>
      </c>
      <c r="H214" s="60" t="s">
        <v>79</v>
      </c>
      <c r="I214" s="40">
        <f>SUM(I215:I215)</f>
        <v>0</v>
      </c>
      <c r="K214" s="51"/>
      <c r="AI214" s="46" t="s">
        <v>88</v>
      </c>
      <c r="AS214" s="40">
        <f>SUM(AJ215:AJ215)</f>
        <v>0</v>
      </c>
      <c r="AT214" s="40">
        <f>SUM(AK215:AK215)</f>
        <v>0</v>
      </c>
      <c r="AU214" s="40">
        <f>SUM(AL215:AL215)</f>
        <v>0</v>
      </c>
    </row>
    <row r="215" spans="1:76">
      <c r="A215" s="1" t="s">
        <v>577</v>
      </c>
      <c r="B215" s="2" t="s">
        <v>88</v>
      </c>
      <c r="C215" s="2" t="s">
        <v>578</v>
      </c>
      <c r="D215" s="92" t="s">
        <v>579</v>
      </c>
      <c r="E215" s="87"/>
      <c r="F215" s="2" t="s">
        <v>192</v>
      </c>
      <c r="G215" s="35">
        <v>0.6</v>
      </c>
      <c r="H215" s="61">
        <v>0</v>
      </c>
      <c r="I215" s="35">
        <f>ROUND(G215*H215,2)</f>
        <v>0</v>
      </c>
      <c r="K215" s="51"/>
      <c r="Z215" s="35">
        <f>ROUND(IF(AQ215="5",BJ215,0),2)</f>
        <v>0</v>
      </c>
      <c r="AB215" s="35">
        <f>ROUND(IF(AQ215="1",BH215,0),2)</f>
        <v>0</v>
      </c>
      <c r="AC215" s="35">
        <f>ROUND(IF(AQ215="1",BI215,0),2)</f>
        <v>0</v>
      </c>
      <c r="AD215" s="35">
        <f>ROUND(IF(AQ215="7",BH215,0),2)</f>
        <v>0</v>
      </c>
      <c r="AE215" s="35">
        <f>ROUND(IF(AQ215="7",BI215,0),2)</f>
        <v>0</v>
      </c>
      <c r="AF215" s="35">
        <f>ROUND(IF(AQ215="2",BH215,0),2)</f>
        <v>0</v>
      </c>
      <c r="AG215" s="35">
        <f>ROUND(IF(AQ215="2",BI215,0),2)</f>
        <v>0</v>
      </c>
      <c r="AH215" s="35">
        <f>ROUND(IF(AQ215="0",BJ215,0),2)</f>
        <v>0</v>
      </c>
      <c r="AI215" s="46" t="s">
        <v>88</v>
      </c>
      <c r="AJ215" s="35">
        <f>IF(AN215=0,I215,0)</f>
        <v>0</v>
      </c>
      <c r="AK215" s="35">
        <f>IF(AN215=12,I215,0)</f>
        <v>0</v>
      </c>
      <c r="AL215" s="35">
        <f>IF(AN215=21,I215,0)</f>
        <v>0</v>
      </c>
      <c r="AN215" s="35">
        <v>21</v>
      </c>
      <c r="AO215" s="35">
        <f>H215*0</f>
        <v>0</v>
      </c>
      <c r="AP215" s="35">
        <f>H215*(1-0)</f>
        <v>0</v>
      </c>
      <c r="AQ215" s="62" t="s">
        <v>127</v>
      </c>
      <c r="AV215" s="35">
        <f>ROUND(AW215+AX215,2)</f>
        <v>0</v>
      </c>
      <c r="AW215" s="35">
        <f>ROUND(G215*AO215,2)</f>
        <v>0</v>
      </c>
      <c r="AX215" s="35">
        <f>ROUND(G215*AP215,2)</f>
        <v>0</v>
      </c>
      <c r="AY215" s="62" t="s">
        <v>193</v>
      </c>
      <c r="AZ215" s="62" t="s">
        <v>580</v>
      </c>
      <c r="BA215" s="46" t="s">
        <v>581</v>
      </c>
      <c r="BC215" s="35">
        <f>AW215+AX215</f>
        <v>0</v>
      </c>
      <c r="BD215" s="35">
        <f>H215/(100-BE215)*100</f>
        <v>0</v>
      </c>
      <c r="BE215" s="35">
        <v>0</v>
      </c>
      <c r="BF215" s="35">
        <f>215</f>
        <v>215</v>
      </c>
      <c r="BH215" s="35">
        <f>G215*AO215</f>
        <v>0</v>
      </c>
      <c r="BI215" s="35">
        <f>G215*AP215</f>
        <v>0</v>
      </c>
      <c r="BJ215" s="35">
        <f>G215*H215</f>
        <v>0</v>
      </c>
      <c r="BK215" s="62" t="s">
        <v>135</v>
      </c>
      <c r="BL215" s="35">
        <v>11</v>
      </c>
      <c r="BW215" s="35">
        <v>21</v>
      </c>
      <c r="BX215" s="3" t="s">
        <v>579</v>
      </c>
    </row>
    <row r="216" spans="1:76">
      <c r="A216" s="68"/>
      <c r="D216" s="69" t="s">
        <v>582</v>
      </c>
      <c r="E216" s="70" t="s">
        <v>583</v>
      </c>
      <c r="G216" s="71">
        <v>0.6</v>
      </c>
      <c r="K216" s="51"/>
    </row>
    <row r="217" spans="1:76">
      <c r="A217" s="57" t="s">
        <v>4</v>
      </c>
      <c r="B217" s="58" t="s">
        <v>88</v>
      </c>
      <c r="C217" s="58" t="s">
        <v>349</v>
      </c>
      <c r="D217" s="174" t="s">
        <v>350</v>
      </c>
      <c r="E217" s="175"/>
      <c r="F217" s="59" t="s">
        <v>79</v>
      </c>
      <c r="G217" s="59" t="s">
        <v>79</v>
      </c>
      <c r="H217" s="60" t="s">
        <v>79</v>
      </c>
      <c r="I217" s="40">
        <f>SUM(I218:I230)</f>
        <v>0</v>
      </c>
      <c r="K217" s="51"/>
      <c r="AI217" s="46" t="s">
        <v>88</v>
      </c>
      <c r="AS217" s="40">
        <f>SUM(AJ218:AJ230)</f>
        <v>0</v>
      </c>
      <c r="AT217" s="40">
        <f>SUM(AK218:AK230)</f>
        <v>0</v>
      </c>
      <c r="AU217" s="40">
        <f>SUM(AL218:AL230)</f>
        <v>0</v>
      </c>
    </row>
    <row r="218" spans="1:76">
      <c r="A218" s="1" t="s">
        <v>584</v>
      </c>
      <c r="B218" s="2" t="s">
        <v>88</v>
      </c>
      <c r="C218" s="2" t="s">
        <v>352</v>
      </c>
      <c r="D218" s="92" t="s">
        <v>353</v>
      </c>
      <c r="E218" s="87"/>
      <c r="F218" s="2" t="s">
        <v>192</v>
      </c>
      <c r="G218" s="35">
        <v>0.6</v>
      </c>
      <c r="H218" s="61">
        <v>0</v>
      </c>
      <c r="I218" s="35">
        <f>ROUND(G218*H218,2)</f>
        <v>0</v>
      </c>
      <c r="K218" s="51"/>
      <c r="Z218" s="35">
        <f>ROUND(IF(AQ218="5",BJ218,0),2)</f>
        <v>0</v>
      </c>
      <c r="AB218" s="35">
        <f>ROUND(IF(AQ218="1",BH218,0),2)</f>
        <v>0</v>
      </c>
      <c r="AC218" s="35">
        <f>ROUND(IF(AQ218="1",BI218,0),2)</f>
        <v>0</v>
      </c>
      <c r="AD218" s="35">
        <f>ROUND(IF(AQ218="7",BH218,0),2)</f>
        <v>0</v>
      </c>
      <c r="AE218" s="35">
        <f>ROUND(IF(AQ218="7",BI218,0),2)</f>
        <v>0</v>
      </c>
      <c r="AF218" s="35">
        <f>ROUND(IF(AQ218="2",BH218,0),2)</f>
        <v>0</v>
      </c>
      <c r="AG218" s="35">
        <f>ROUND(IF(AQ218="2",BI218,0),2)</f>
        <v>0</v>
      </c>
      <c r="AH218" s="35">
        <f>ROUND(IF(AQ218="0",BJ218,0),2)</f>
        <v>0</v>
      </c>
      <c r="AI218" s="46" t="s">
        <v>88</v>
      </c>
      <c r="AJ218" s="35">
        <f>IF(AN218=0,I218,0)</f>
        <v>0</v>
      </c>
      <c r="AK218" s="35">
        <f>IF(AN218=12,I218,0)</f>
        <v>0</v>
      </c>
      <c r="AL218" s="35">
        <f>IF(AN218=21,I218,0)</f>
        <v>0</v>
      </c>
      <c r="AN218" s="35">
        <v>21</v>
      </c>
      <c r="AO218" s="35">
        <f>H218*0.763077223</f>
        <v>0</v>
      </c>
      <c r="AP218" s="35">
        <f>H218*(1-0.763077223)</f>
        <v>0</v>
      </c>
      <c r="AQ218" s="62" t="s">
        <v>127</v>
      </c>
      <c r="AV218" s="35">
        <f>ROUND(AW218+AX218,2)</f>
        <v>0</v>
      </c>
      <c r="AW218" s="35">
        <f>ROUND(G218*AO218,2)</f>
        <v>0</v>
      </c>
      <c r="AX218" s="35">
        <f>ROUND(G218*AP218,2)</f>
        <v>0</v>
      </c>
      <c r="AY218" s="62" t="s">
        <v>354</v>
      </c>
      <c r="AZ218" s="62" t="s">
        <v>585</v>
      </c>
      <c r="BA218" s="46" t="s">
        <v>581</v>
      </c>
      <c r="BC218" s="35">
        <f>AW218+AX218</f>
        <v>0</v>
      </c>
      <c r="BD218" s="35">
        <f>H218/(100-BE218)*100</f>
        <v>0</v>
      </c>
      <c r="BE218" s="35">
        <v>0</v>
      </c>
      <c r="BF218" s="35">
        <f>218</f>
        <v>218</v>
      </c>
      <c r="BH218" s="35">
        <f>G218*AO218</f>
        <v>0</v>
      </c>
      <c r="BI218" s="35">
        <f>G218*AP218</f>
        <v>0</v>
      </c>
      <c r="BJ218" s="35">
        <f>G218*H218</f>
        <v>0</v>
      </c>
      <c r="BK218" s="62" t="s">
        <v>135</v>
      </c>
      <c r="BL218" s="35">
        <v>59</v>
      </c>
      <c r="BW218" s="35">
        <v>21</v>
      </c>
      <c r="BX218" s="3" t="s">
        <v>353</v>
      </c>
    </row>
    <row r="219" spans="1:76">
      <c r="A219" s="68"/>
      <c r="D219" s="69" t="s">
        <v>582</v>
      </c>
      <c r="E219" s="70" t="s">
        <v>356</v>
      </c>
      <c r="G219" s="71">
        <v>0.6</v>
      </c>
      <c r="K219" s="51"/>
    </row>
    <row r="220" spans="1:76">
      <c r="A220" s="1" t="s">
        <v>586</v>
      </c>
      <c r="B220" s="2" t="s">
        <v>88</v>
      </c>
      <c r="C220" s="2" t="s">
        <v>358</v>
      </c>
      <c r="D220" s="92" t="s">
        <v>359</v>
      </c>
      <c r="E220" s="87"/>
      <c r="F220" s="2" t="s">
        <v>192</v>
      </c>
      <c r="G220" s="35">
        <v>5.4</v>
      </c>
      <c r="H220" s="61">
        <v>0</v>
      </c>
      <c r="I220" s="35">
        <f>ROUND(G220*H220,2)</f>
        <v>0</v>
      </c>
      <c r="K220" s="51"/>
      <c r="Z220" s="35">
        <f>ROUND(IF(AQ220="5",BJ220,0),2)</f>
        <v>0</v>
      </c>
      <c r="AB220" s="35">
        <f>ROUND(IF(AQ220="1",BH220,0),2)</f>
        <v>0</v>
      </c>
      <c r="AC220" s="35">
        <f>ROUND(IF(AQ220="1",BI220,0),2)</f>
        <v>0</v>
      </c>
      <c r="AD220" s="35">
        <f>ROUND(IF(AQ220="7",BH220,0),2)</f>
        <v>0</v>
      </c>
      <c r="AE220" s="35">
        <f>ROUND(IF(AQ220="7",BI220,0),2)</f>
        <v>0</v>
      </c>
      <c r="AF220" s="35">
        <f>ROUND(IF(AQ220="2",BH220,0),2)</f>
        <v>0</v>
      </c>
      <c r="AG220" s="35">
        <f>ROUND(IF(AQ220="2",BI220,0),2)</f>
        <v>0</v>
      </c>
      <c r="AH220" s="35">
        <f>ROUND(IF(AQ220="0",BJ220,0),2)</f>
        <v>0</v>
      </c>
      <c r="AI220" s="46" t="s">
        <v>88</v>
      </c>
      <c r="AJ220" s="35">
        <f>IF(AN220=0,I220,0)</f>
        <v>0</v>
      </c>
      <c r="AK220" s="35">
        <f>IF(AN220=12,I220,0)</f>
        <v>0</v>
      </c>
      <c r="AL220" s="35">
        <f>IF(AN220=21,I220,0)</f>
        <v>0</v>
      </c>
      <c r="AN220" s="35">
        <v>21</v>
      </c>
      <c r="AO220" s="35">
        <f>H220*0.170541401</f>
        <v>0</v>
      </c>
      <c r="AP220" s="35">
        <f>H220*(1-0.170541401)</f>
        <v>0</v>
      </c>
      <c r="AQ220" s="62" t="s">
        <v>127</v>
      </c>
      <c r="AV220" s="35">
        <f>ROUND(AW220+AX220,2)</f>
        <v>0</v>
      </c>
      <c r="AW220" s="35">
        <f>ROUND(G220*AO220,2)</f>
        <v>0</v>
      </c>
      <c r="AX220" s="35">
        <f>ROUND(G220*AP220,2)</f>
        <v>0</v>
      </c>
      <c r="AY220" s="62" t="s">
        <v>354</v>
      </c>
      <c r="AZ220" s="62" t="s">
        <v>585</v>
      </c>
      <c r="BA220" s="46" t="s">
        <v>581</v>
      </c>
      <c r="BC220" s="35">
        <f>AW220+AX220</f>
        <v>0</v>
      </c>
      <c r="BD220" s="35">
        <f>H220/(100-BE220)*100</f>
        <v>0</v>
      </c>
      <c r="BE220" s="35">
        <v>0</v>
      </c>
      <c r="BF220" s="35">
        <f>220</f>
        <v>220</v>
      </c>
      <c r="BH220" s="35">
        <f>G220*AO220</f>
        <v>0</v>
      </c>
      <c r="BI220" s="35">
        <f>G220*AP220</f>
        <v>0</v>
      </c>
      <c r="BJ220" s="35">
        <f>G220*H220</f>
        <v>0</v>
      </c>
      <c r="BK220" s="62" t="s">
        <v>135</v>
      </c>
      <c r="BL220" s="35">
        <v>59</v>
      </c>
      <c r="BW220" s="35">
        <v>21</v>
      </c>
      <c r="BX220" s="3" t="s">
        <v>359</v>
      </c>
    </row>
    <row r="221" spans="1:76">
      <c r="A221" s="68"/>
      <c r="D221" s="69" t="s">
        <v>587</v>
      </c>
      <c r="E221" s="70" t="s">
        <v>361</v>
      </c>
      <c r="G221" s="71">
        <v>1.1000000000000001</v>
      </c>
      <c r="K221" s="51"/>
    </row>
    <row r="222" spans="1:76">
      <c r="A222" s="68"/>
      <c r="D222" s="69" t="s">
        <v>588</v>
      </c>
      <c r="E222" s="70" t="s">
        <v>363</v>
      </c>
      <c r="G222" s="71">
        <v>2.8</v>
      </c>
      <c r="K222" s="51"/>
    </row>
    <row r="223" spans="1:76">
      <c r="A223" s="68"/>
      <c r="D223" s="69" t="s">
        <v>589</v>
      </c>
      <c r="E223" s="70" t="s">
        <v>365</v>
      </c>
      <c r="G223" s="71">
        <v>1.5</v>
      </c>
      <c r="K223" s="51"/>
    </row>
    <row r="224" spans="1:76">
      <c r="A224" s="1" t="s">
        <v>345</v>
      </c>
      <c r="B224" s="2" t="s">
        <v>88</v>
      </c>
      <c r="C224" s="2" t="s">
        <v>385</v>
      </c>
      <c r="D224" s="92" t="s">
        <v>386</v>
      </c>
      <c r="E224" s="87"/>
      <c r="F224" s="2" t="s">
        <v>192</v>
      </c>
      <c r="G224" s="35">
        <v>1.1220000000000001</v>
      </c>
      <c r="H224" s="61">
        <v>0</v>
      </c>
      <c r="I224" s="35">
        <f>ROUND(G224*H224,2)</f>
        <v>0</v>
      </c>
      <c r="K224" s="51"/>
      <c r="Z224" s="35">
        <f>ROUND(IF(AQ224="5",BJ224,0),2)</f>
        <v>0</v>
      </c>
      <c r="AB224" s="35">
        <f>ROUND(IF(AQ224="1",BH224,0),2)</f>
        <v>0</v>
      </c>
      <c r="AC224" s="35">
        <f>ROUND(IF(AQ224="1",BI224,0),2)</f>
        <v>0</v>
      </c>
      <c r="AD224" s="35">
        <f>ROUND(IF(AQ224="7",BH224,0),2)</f>
        <v>0</v>
      </c>
      <c r="AE224" s="35">
        <f>ROUND(IF(AQ224="7",BI224,0),2)</f>
        <v>0</v>
      </c>
      <c r="AF224" s="35">
        <f>ROUND(IF(AQ224="2",BH224,0),2)</f>
        <v>0</v>
      </c>
      <c r="AG224" s="35">
        <f>ROUND(IF(AQ224="2",BI224,0),2)</f>
        <v>0</v>
      </c>
      <c r="AH224" s="35">
        <f>ROUND(IF(AQ224="0",BJ224,0),2)</f>
        <v>0</v>
      </c>
      <c r="AI224" s="46" t="s">
        <v>88</v>
      </c>
      <c r="AJ224" s="35">
        <f>IF(AN224=0,I224,0)</f>
        <v>0</v>
      </c>
      <c r="AK224" s="35">
        <f>IF(AN224=12,I224,0)</f>
        <v>0</v>
      </c>
      <c r="AL224" s="35">
        <f>IF(AN224=21,I224,0)</f>
        <v>0</v>
      </c>
      <c r="AN224" s="35">
        <v>21</v>
      </c>
      <c r="AO224" s="35">
        <f>H224*1</f>
        <v>0</v>
      </c>
      <c r="AP224" s="35">
        <f>H224*(1-1)</f>
        <v>0</v>
      </c>
      <c r="AQ224" s="62" t="s">
        <v>127</v>
      </c>
      <c r="AV224" s="35">
        <f>ROUND(AW224+AX224,2)</f>
        <v>0</v>
      </c>
      <c r="AW224" s="35">
        <f>ROUND(G224*AO224,2)</f>
        <v>0</v>
      </c>
      <c r="AX224" s="35">
        <f>ROUND(G224*AP224,2)</f>
        <v>0</v>
      </c>
      <c r="AY224" s="62" t="s">
        <v>354</v>
      </c>
      <c r="AZ224" s="62" t="s">
        <v>585</v>
      </c>
      <c r="BA224" s="46" t="s">
        <v>581</v>
      </c>
      <c r="BC224" s="35">
        <f>AW224+AX224</f>
        <v>0</v>
      </c>
      <c r="BD224" s="35">
        <f>H224/(100-BE224)*100</f>
        <v>0</v>
      </c>
      <c r="BE224" s="35">
        <v>0</v>
      </c>
      <c r="BF224" s="35">
        <f>224</f>
        <v>224</v>
      </c>
      <c r="BH224" s="35">
        <f>G224*AO224</f>
        <v>0</v>
      </c>
      <c r="BI224" s="35">
        <f>G224*AP224</f>
        <v>0</v>
      </c>
      <c r="BJ224" s="35">
        <f>G224*H224</f>
        <v>0</v>
      </c>
      <c r="BK224" s="62" t="s">
        <v>277</v>
      </c>
      <c r="BL224" s="35">
        <v>59</v>
      </c>
      <c r="BW224" s="35">
        <v>21</v>
      </c>
      <c r="BX224" s="3" t="s">
        <v>386</v>
      </c>
    </row>
    <row r="225" spans="1:76">
      <c r="A225" s="68"/>
      <c r="D225" s="69" t="s">
        <v>590</v>
      </c>
      <c r="E225" s="70" t="s">
        <v>380</v>
      </c>
      <c r="G225" s="71">
        <v>1.1220000000000001</v>
      </c>
      <c r="K225" s="51"/>
    </row>
    <row r="226" spans="1:76">
      <c r="A226" s="1" t="s">
        <v>591</v>
      </c>
      <c r="B226" s="2" t="s">
        <v>88</v>
      </c>
      <c r="C226" s="2" t="s">
        <v>394</v>
      </c>
      <c r="D226" s="92" t="s">
        <v>395</v>
      </c>
      <c r="E226" s="87"/>
      <c r="F226" s="2" t="s">
        <v>192</v>
      </c>
      <c r="G226" s="35">
        <v>2.8559999999999999</v>
      </c>
      <c r="H226" s="61">
        <v>0</v>
      </c>
      <c r="I226" s="35">
        <f>ROUND(G226*H226,2)</f>
        <v>0</v>
      </c>
      <c r="K226" s="51"/>
      <c r="Z226" s="35">
        <f>ROUND(IF(AQ226="5",BJ226,0),2)</f>
        <v>0</v>
      </c>
      <c r="AB226" s="35">
        <f>ROUND(IF(AQ226="1",BH226,0),2)</f>
        <v>0</v>
      </c>
      <c r="AC226" s="35">
        <f>ROUND(IF(AQ226="1",BI226,0),2)</f>
        <v>0</v>
      </c>
      <c r="AD226" s="35">
        <f>ROUND(IF(AQ226="7",BH226,0),2)</f>
        <v>0</v>
      </c>
      <c r="AE226" s="35">
        <f>ROUND(IF(AQ226="7",BI226,0),2)</f>
        <v>0</v>
      </c>
      <c r="AF226" s="35">
        <f>ROUND(IF(AQ226="2",BH226,0),2)</f>
        <v>0</v>
      </c>
      <c r="AG226" s="35">
        <f>ROUND(IF(AQ226="2",BI226,0),2)</f>
        <v>0</v>
      </c>
      <c r="AH226" s="35">
        <f>ROUND(IF(AQ226="0",BJ226,0),2)</f>
        <v>0</v>
      </c>
      <c r="AI226" s="46" t="s">
        <v>88</v>
      </c>
      <c r="AJ226" s="35">
        <f>IF(AN226=0,I226,0)</f>
        <v>0</v>
      </c>
      <c r="AK226" s="35">
        <f>IF(AN226=12,I226,0)</f>
        <v>0</v>
      </c>
      <c r="AL226" s="35">
        <f>IF(AN226=21,I226,0)</f>
        <v>0</v>
      </c>
      <c r="AN226" s="35">
        <v>21</v>
      </c>
      <c r="AO226" s="35">
        <f>H226*1</f>
        <v>0</v>
      </c>
      <c r="AP226" s="35">
        <f>H226*(1-1)</f>
        <v>0</v>
      </c>
      <c r="AQ226" s="62" t="s">
        <v>127</v>
      </c>
      <c r="AV226" s="35">
        <f>ROUND(AW226+AX226,2)</f>
        <v>0</v>
      </c>
      <c r="AW226" s="35">
        <f>ROUND(G226*AO226,2)</f>
        <v>0</v>
      </c>
      <c r="AX226" s="35">
        <f>ROUND(G226*AP226,2)</f>
        <v>0</v>
      </c>
      <c r="AY226" s="62" t="s">
        <v>354</v>
      </c>
      <c r="AZ226" s="62" t="s">
        <v>585</v>
      </c>
      <c r="BA226" s="46" t="s">
        <v>581</v>
      </c>
      <c r="BC226" s="35">
        <f>AW226+AX226</f>
        <v>0</v>
      </c>
      <c r="BD226" s="35">
        <f>H226/(100-BE226)*100</f>
        <v>0</v>
      </c>
      <c r="BE226" s="35">
        <v>0</v>
      </c>
      <c r="BF226" s="35">
        <f>226</f>
        <v>226</v>
      </c>
      <c r="BH226" s="35">
        <f>G226*AO226</f>
        <v>0</v>
      </c>
      <c r="BI226" s="35">
        <f>G226*AP226</f>
        <v>0</v>
      </c>
      <c r="BJ226" s="35">
        <f>G226*H226</f>
        <v>0</v>
      </c>
      <c r="BK226" s="62" t="s">
        <v>277</v>
      </c>
      <c r="BL226" s="35">
        <v>59</v>
      </c>
      <c r="BW226" s="35">
        <v>21</v>
      </c>
      <c r="BX226" s="3" t="s">
        <v>395</v>
      </c>
    </row>
    <row r="227" spans="1:76">
      <c r="A227" s="68"/>
      <c r="D227" s="69" t="s">
        <v>592</v>
      </c>
      <c r="E227" s="70" t="s">
        <v>363</v>
      </c>
      <c r="G227" s="71">
        <v>2.8559999999999999</v>
      </c>
      <c r="K227" s="51"/>
    </row>
    <row r="228" spans="1:76">
      <c r="A228" s="1" t="s">
        <v>593</v>
      </c>
      <c r="B228" s="2" t="s">
        <v>88</v>
      </c>
      <c r="C228" s="2" t="s">
        <v>389</v>
      </c>
      <c r="D228" s="92" t="s">
        <v>390</v>
      </c>
      <c r="E228" s="87"/>
      <c r="F228" s="2" t="s">
        <v>192</v>
      </c>
      <c r="G228" s="35">
        <v>1.53</v>
      </c>
      <c r="H228" s="61">
        <v>0</v>
      </c>
      <c r="I228" s="35">
        <f>ROUND(G228*H228,2)</f>
        <v>0</v>
      </c>
      <c r="K228" s="51"/>
      <c r="Z228" s="35">
        <f>ROUND(IF(AQ228="5",BJ228,0),2)</f>
        <v>0</v>
      </c>
      <c r="AB228" s="35">
        <f>ROUND(IF(AQ228="1",BH228,0),2)</f>
        <v>0</v>
      </c>
      <c r="AC228" s="35">
        <f>ROUND(IF(AQ228="1",BI228,0),2)</f>
        <v>0</v>
      </c>
      <c r="AD228" s="35">
        <f>ROUND(IF(AQ228="7",BH228,0),2)</f>
        <v>0</v>
      </c>
      <c r="AE228" s="35">
        <f>ROUND(IF(AQ228="7",BI228,0),2)</f>
        <v>0</v>
      </c>
      <c r="AF228" s="35">
        <f>ROUND(IF(AQ228="2",BH228,0),2)</f>
        <v>0</v>
      </c>
      <c r="AG228" s="35">
        <f>ROUND(IF(AQ228="2",BI228,0),2)</f>
        <v>0</v>
      </c>
      <c r="AH228" s="35">
        <f>ROUND(IF(AQ228="0",BJ228,0),2)</f>
        <v>0</v>
      </c>
      <c r="AI228" s="46" t="s">
        <v>88</v>
      </c>
      <c r="AJ228" s="35">
        <f>IF(AN228=0,I228,0)</f>
        <v>0</v>
      </c>
      <c r="AK228" s="35">
        <f>IF(AN228=12,I228,0)</f>
        <v>0</v>
      </c>
      <c r="AL228" s="35">
        <f>IF(AN228=21,I228,0)</f>
        <v>0</v>
      </c>
      <c r="AN228" s="35">
        <v>21</v>
      </c>
      <c r="AO228" s="35">
        <f>H228*1</f>
        <v>0</v>
      </c>
      <c r="AP228" s="35">
        <f>H228*(1-1)</f>
        <v>0</v>
      </c>
      <c r="AQ228" s="62" t="s">
        <v>127</v>
      </c>
      <c r="AV228" s="35">
        <f>ROUND(AW228+AX228,2)</f>
        <v>0</v>
      </c>
      <c r="AW228" s="35">
        <f>ROUND(G228*AO228,2)</f>
        <v>0</v>
      </c>
      <c r="AX228" s="35">
        <f>ROUND(G228*AP228,2)</f>
        <v>0</v>
      </c>
      <c r="AY228" s="62" t="s">
        <v>354</v>
      </c>
      <c r="AZ228" s="62" t="s">
        <v>585</v>
      </c>
      <c r="BA228" s="46" t="s">
        <v>581</v>
      </c>
      <c r="BC228" s="35">
        <f>AW228+AX228</f>
        <v>0</v>
      </c>
      <c r="BD228" s="35">
        <f>H228/(100-BE228)*100</f>
        <v>0</v>
      </c>
      <c r="BE228" s="35">
        <v>0</v>
      </c>
      <c r="BF228" s="35">
        <f>228</f>
        <v>228</v>
      </c>
      <c r="BH228" s="35">
        <f>G228*AO228</f>
        <v>0</v>
      </c>
      <c r="BI228" s="35">
        <f>G228*AP228</f>
        <v>0</v>
      </c>
      <c r="BJ228" s="35">
        <f>G228*H228</f>
        <v>0</v>
      </c>
      <c r="BK228" s="62" t="s">
        <v>277</v>
      </c>
      <c r="BL228" s="35">
        <v>59</v>
      </c>
      <c r="BW228" s="35">
        <v>21</v>
      </c>
      <c r="BX228" s="3" t="s">
        <v>390</v>
      </c>
    </row>
    <row r="229" spans="1:76">
      <c r="A229" s="68"/>
      <c r="D229" s="69" t="s">
        <v>594</v>
      </c>
      <c r="E229" s="70" t="s">
        <v>365</v>
      </c>
      <c r="G229" s="71">
        <v>1.53</v>
      </c>
      <c r="K229" s="51"/>
    </row>
    <row r="230" spans="1:76">
      <c r="A230" s="1" t="s">
        <v>595</v>
      </c>
      <c r="B230" s="2" t="s">
        <v>88</v>
      </c>
      <c r="C230" s="2" t="s">
        <v>367</v>
      </c>
      <c r="D230" s="92" t="s">
        <v>368</v>
      </c>
      <c r="E230" s="87"/>
      <c r="F230" s="2" t="s">
        <v>282</v>
      </c>
      <c r="G230" s="35">
        <v>2</v>
      </c>
      <c r="H230" s="61">
        <v>0</v>
      </c>
      <c r="I230" s="35">
        <f>ROUND(G230*H230,2)</f>
        <v>0</v>
      </c>
      <c r="K230" s="51"/>
      <c r="Z230" s="35">
        <f>ROUND(IF(AQ230="5",BJ230,0),2)</f>
        <v>0</v>
      </c>
      <c r="AB230" s="35">
        <f>ROUND(IF(AQ230="1",BH230,0),2)</f>
        <v>0</v>
      </c>
      <c r="AC230" s="35">
        <f>ROUND(IF(AQ230="1",BI230,0),2)</f>
        <v>0</v>
      </c>
      <c r="AD230" s="35">
        <f>ROUND(IF(AQ230="7",BH230,0),2)</f>
        <v>0</v>
      </c>
      <c r="AE230" s="35">
        <f>ROUND(IF(AQ230="7",BI230,0),2)</f>
        <v>0</v>
      </c>
      <c r="AF230" s="35">
        <f>ROUND(IF(AQ230="2",BH230,0),2)</f>
        <v>0</v>
      </c>
      <c r="AG230" s="35">
        <f>ROUND(IF(AQ230="2",BI230,0),2)</f>
        <v>0</v>
      </c>
      <c r="AH230" s="35">
        <f>ROUND(IF(AQ230="0",BJ230,0),2)</f>
        <v>0</v>
      </c>
      <c r="AI230" s="46" t="s">
        <v>88</v>
      </c>
      <c r="AJ230" s="35">
        <f>IF(AN230=0,I230,0)</f>
        <v>0</v>
      </c>
      <c r="AK230" s="35">
        <f>IF(AN230=12,I230,0)</f>
        <v>0</v>
      </c>
      <c r="AL230" s="35">
        <f>IF(AN230=21,I230,0)</f>
        <v>0</v>
      </c>
      <c r="AN230" s="35">
        <v>21</v>
      </c>
      <c r="AO230" s="35">
        <f>H230*0.053195815</f>
        <v>0</v>
      </c>
      <c r="AP230" s="35">
        <f>H230*(1-0.053195815)</f>
        <v>0</v>
      </c>
      <c r="AQ230" s="62" t="s">
        <v>127</v>
      </c>
      <c r="AV230" s="35">
        <f>ROUND(AW230+AX230,2)</f>
        <v>0</v>
      </c>
      <c r="AW230" s="35">
        <f>ROUND(G230*AO230,2)</f>
        <v>0</v>
      </c>
      <c r="AX230" s="35">
        <f>ROUND(G230*AP230,2)</f>
        <v>0</v>
      </c>
      <c r="AY230" s="62" t="s">
        <v>354</v>
      </c>
      <c r="AZ230" s="62" t="s">
        <v>585</v>
      </c>
      <c r="BA230" s="46" t="s">
        <v>581</v>
      </c>
      <c r="BC230" s="35">
        <f>AW230+AX230</f>
        <v>0</v>
      </c>
      <c r="BD230" s="35">
        <f>H230/(100-BE230)*100</f>
        <v>0</v>
      </c>
      <c r="BE230" s="35">
        <v>0</v>
      </c>
      <c r="BF230" s="35">
        <f>230</f>
        <v>230</v>
      </c>
      <c r="BH230" s="35">
        <f>G230*AO230</f>
        <v>0</v>
      </c>
      <c r="BI230" s="35">
        <f>G230*AP230</f>
        <v>0</v>
      </c>
      <c r="BJ230" s="35">
        <f>G230*H230</f>
        <v>0</v>
      </c>
      <c r="BK230" s="62" t="s">
        <v>135</v>
      </c>
      <c r="BL230" s="35">
        <v>59</v>
      </c>
      <c r="BW230" s="35">
        <v>21</v>
      </c>
      <c r="BX230" s="3" t="s">
        <v>368</v>
      </c>
    </row>
    <row r="231" spans="1:76">
      <c r="A231" s="57" t="s">
        <v>4</v>
      </c>
      <c r="B231" s="58" t="s">
        <v>88</v>
      </c>
      <c r="C231" s="58" t="s">
        <v>443</v>
      </c>
      <c r="D231" s="174" t="s">
        <v>444</v>
      </c>
      <c r="E231" s="175"/>
      <c r="F231" s="59" t="s">
        <v>79</v>
      </c>
      <c r="G231" s="59" t="s">
        <v>79</v>
      </c>
      <c r="H231" s="60" t="s">
        <v>79</v>
      </c>
      <c r="I231" s="40">
        <f>SUM(I232:I246)</f>
        <v>0</v>
      </c>
      <c r="K231" s="51"/>
      <c r="AI231" s="46" t="s">
        <v>88</v>
      </c>
      <c r="AS231" s="40">
        <f>SUM(AJ232:AJ246)</f>
        <v>0</v>
      </c>
      <c r="AT231" s="40">
        <f>SUM(AK232:AK246)</f>
        <v>0</v>
      </c>
      <c r="AU231" s="40">
        <f>SUM(AL232:AL246)</f>
        <v>0</v>
      </c>
    </row>
    <row r="232" spans="1:76">
      <c r="A232" s="1" t="s">
        <v>596</v>
      </c>
      <c r="B232" s="2" t="s">
        <v>88</v>
      </c>
      <c r="C232" s="2" t="s">
        <v>597</v>
      </c>
      <c r="D232" s="92" t="s">
        <v>598</v>
      </c>
      <c r="E232" s="87"/>
      <c r="F232" s="2" t="s">
        <v>282</v>
      </c>
      <c r="G232" s="35">
        <v>28.175000000000001</v>
      </c>
      <c r="H232" s="61">
        <v>0</v>
      </c>
      <c r="I232" s="35">
        <f>ROUND(G232*H232,2)</f>
        <v>0</v>
      </c>
      <c r="K232" s="51"/>
      <c r="Z232" s="35">
        <f>ROUND(IF(AQ232="5",BJ232,0),2)</f>
        <v>0</v>
      </c>
      <c r="AB232" s="35">
        <f>ROUND(IF(AQ232="1",BH232,0),2)</f>
        <v>0</v>
      </c>
      <c r="AC232" s="35">
        <f>ROUND(IF(AQ232="1",BI232,0),2)</f>
        <v>0</v>
      </c>
      <c r="AD232" s="35">
        <f>ROUND(IF(AQ232="7",BH232,0),2)</f>
        <v>0</v>
      </c>
      <c r="AE232" s="35">
        <f>ROUND(IF(AQ232="7",BI232,0),2)</f>
        <v>0</v>
      </c>
      <c r="AF232" s="35">
        <f>ROUND(IF(AQ232="2",BH232,0),2)</f>
        <v>0</v>
      </c>
      <c r="AG232" s="35">
        <f>ROUND(IF(AQ232="2",BI232,0),2)</f>
        <v>0</v>
      </c>
      <c r="AH232" s="35">
        <f>ROUND(IF(AQ232="0",BJ232,0),2)</f>
        <v>0</v>
      </c>
      <c r="AI232" s="46" t="s">
        <v>88</v>
      </c>
      <c r="AJ232" s="35">
        <f>IF(AN232=0,I232,0)</f>
        <v>0</v>
      </c>
      <c r="AK232" s="35">
        <f>IF(AN232=12,I232,0)</f>
        <v>0</v>
      </c>
      <c r="AL232" s="35">
        <f>IF(AN232=21,I232,0)</f>
        <v>0</v>
      </c>
      <c r="AN232" s="35">
        <v>21</v>
      </c>
      <c r="AO232" s="35">
        <f>H232*0.714578878</f>
        <v>0</v>
      </c>
      <c r="AP232" s="35">
        <f>H232*(1-0.714578878)</f>
        <v>0</v>
      </c>
      <c r="AQ232" s="62" t="s">
        <v>127</v>
      </c>
      <c r="AV232" s="35">
        <f>ROUND(AW232+AX232,2)</f>
        <v>0</v>
      </c>
      <c r="AW232" s="35">
        <f>ROUND(G232*AO232,2)</f>
        <v>0</v>
      </c>
      <c r="AX232" s="35">
        <f>ROUND(G232*AP232,2)</f>
        <v>0</v>
      </c>
      <c r="AY232" s="62" t="s">
        <v>448</v>
      </c>
      <c r="AZ232" s="62" t="s">
        <v>599</v>
      </c>
      <c r="BA232" s="46" t="s">
        <v>581</v>
      </c>
      <c r="BC232" s="35">
        <f>AW232+AX232</f>
        <v>0</v>
      </c>
      <c r="BD232" s="35">
        <f>H232/(100-BE232)*100</f>
        <v>0</v>
      </c>
      <c r="BE232" s="35">
        <v>0</v>
      </c>
      <c r="BF232" s="35">
        <f>232</f>
        <v>232</v>
      </c>
      <c r="BH232" s="35">
        <f>G232*AO232</f>
        <v>0</v>
      </c>
      <c r="BI232" s="35">
        <f>G232*AP232</f>
        <v>0</v>
      </c>
      <c r="BJ232" s="35">
        <f>G232*H232</f>
        <v>0</v>
      </c>
      <c r="BK232" s="62" t="s">
        <v>135</v>
      </c>
      <c r="BL232" s="35">
        <v>91</v>
      </c>
      <c r="BW232" s="35">
        <v>21</v>
      </c>
      <c r="BX232" s="3" t="s">
        <v>598</v>
      </c>
    </row>
    <row r="233" spans="1:76" ht="13.5" customHeight="1">
      <c r="A233" s="68"/>
      <c r="C233" s="72" t="s">
        <v>337</v>
      </c>
      <c r="D233" s="178" t="s">
        <v>491</v>
      </c>
      <c r="E233" s="179"/>
      <c r="F233" s="179"/>
      <c r="G233" s="179"/>
      <c r="H233" s="180"/>
      <c r="I233" s="179"/>
      <c r="J233" s="179"/>
      <c r="K233" s="181"/>
    </row>
    <row r="234" spans="1:76">
      <c r="A234" s="68"/>
      <c r="D234" s="69" t="s">
        <v>600</v>
      </c>
      <c r="E234" s="70" t="s">
        <v>601</v>
      </c>
      <c r="G234" s="71">
        <v>28.175000000000001</v>
      </c>
      <c r="K234" s="51"/>
    </row>
    <row r="235" spans="1:76">
      <c r="A235" s="1" t="s">
        <v>602</v>
      </c>
      <c r="B235" s="2" t="s">
        <v>88</v>
      </c>
      <c r="C235" s="2" t="s">
        <v>603</v>
      </c>
      <c r="D235" s="92" t="s">
        <v>604</v>
      </c>
      <c r="E235" s="87"/>
      <c r="F235" s="2" t="s">
        <v>282</v>
      </c>
      <c r="G235" s="35">
        <v>49</v>
      </c>
      <c r="H235" s="61">
        <v>0</v>
      </c>
      <c r="I235" s="35">
        <f>ROUND(G235*H235,2)</f>
        <v>0</v>
      </c>
      <c r="K235" s="51"/>
      <c r="Z235" s="35">
        <f>ROUND(IF(AQ235="5",BJ235,0),2)</f>
        <v>0</v>
      </c>
      <c r="AB235" s="35">
        <f>ROUND(IF(AQ235="1",BH235,0),2)</f>
        <v>0</v>
      </c>
      <c r="AC235" s="35">
        <f>ROUND(IF(AQ235="1",BI235,0),2)</f>
        <v>0</v>
      </c>
      <c r="AD235" s="35">
        <f>ROUND(IF(AQ235="7",BH235,0),2)</f>
        <v>0</v>
      </c>
      <c r="AE235" s="35">
        <f>ROUND(IF(AQ235="7",BI235,0),2)</f>
        <v>0</v>
      </c>
      <c r="AF235" s="35">
        <f>ROUND(IF(AQ235="2",BH235,0),2)</f>
        <v>0</v>
      </c>
      <c r="AG235" s="35">
        <f>ROUND(IF(AQ235="2",BI235,0),2)</f>
        <v>0</v>
      </c>
      <c r="AH235" s="35">
        <f>ROUND(IF(AQ235="0",BJ235,0),2)</f>
        <v>0</v>
      </c>
      <c r="AI235" s="46" t="s">
        <v>88</v>
      </c>
      <c r="AJ235" s="35">
        <f>IF(AN235=0,I235,0)</f>
        <v>0</v>
      </c>
      <c r="AK235" s="35">
        <f>IF(AN235=12,I235,0)</f>
        <v>0</v>
      </c>
      <c r="AL235" s="35">
        <f>IF(AN235=21,I235,0)</f>
        <v>0</v>
      </c>
      <c r="AN235" s="35">
        <v>21</v>
      </c>
      <c r="AO235" s="35">
        <f>H235*0.397343358</f>
        <v>0</v>
      </c>
      <c r="AP235" s="35">
        <f>H235*(1-0.397343358)</f>
        <v>0</v>
      </c>
      <c r="AQ235" s="62" t="s">
        <v>127</v>
      </c>
      <c r="AV235" s="35">
        <f>ROUND(AW235+AX235,2)</f>
        <v>0</v>
      </c>
      <c r="AW235" s="35">
        <f>ROUND(G235*AO235,2)</f>
        <v>0</v>
      </c>
      <c r="AX235" s="35">
        <f>ROUND(G235*AP235,2)</f>
        <v>0</v>
      </c>
      <c r="AY235" s="62" t="s">
        <v>448</v>
      </c>
      <c r="AZ235" s="62" t="s">
        <v>599</v>
      </c>
      <c r="BA235" s="46" t="s">
        <v>581</v>
      </c>
      <c r="BC235" s="35">
        <f>AW235+AX235</f>
        <v>0</v>
      </c>
      <c r="BD235" s="35">
        <f>H235/(100-BE235)*100</f>
        <v>0</v>
      </c>
      <c r="BE235" s="35">
        <v>0</v>
      </c>
      <c r="BF235" s="35">
        <f>235</f>
        <v>235</v>
      </c>
      <c r="BH235" s="35">
        <f>G235*AO235</f>
        <v>0</v>
      </c>
      <c r="BI235" s="35">
        <f>G235*AP235</f>
        <v>0</v>
      </c>
      <c r="BJ235" s="35">
        <f>G235*H235</f>
        <v>0</v>
      </c>
      <c r="BK235" s="62" t="s">
        <v>135</v>
      </c>
      <c r="BL235" s="35">
        <v>91</v>
      </c>
      <c r="BW235" s="35">
        <v>21</v>
      </c>
      <c r="BX235" s="3" t="s">
        <v>604</v>
      </c>
    </row>
    <row r="236" spans="1:76" ht="13.5" customHeight="1">
      <c r="A236" s="68"/>
      <c r="C236" s="72" t="s">
        <v>337</v>
      </c>
      <c r="D236" s="178" t="s">
        <v>491</v>
      </c>
      <c r="E236" s="179"/>
      <c r="F236" s="179"/>
      <c r="G236" s="179"/>
      <c r="H236" s="180"/>
      <c r="I236" s="179"/>
      <c r="J236" s="179"/>
      <c r="K236" s="181"/>
    </row>
    <row r="237" spans="1:76">
      <c r="A237" s="68"/>
      <c r="D237" s="69" t="s">
        <v>605</v>
      </c>
      <c r="E237" s="70" t="s">
        <v>606</v>
      </c>
      <c r="G237" s="71">
        <v>49</v>
      </c>
      <c r="K237" s="51"/>
    </row>
    <row r="238" spans="1:76">
      <c r="A238" s="1" t="s">
        <v>607</v>
      </c>
      <c r="B238" s="2" t="s">
        <v>88</v>
      </c>
      <c r="C238" s="2" t="s">
        <v>469</v>
      </c>
      <c r="D238" s="92" t="s">
        <v>470</v>
      </c>
      <c r="E238" s="87"/>
      <c r="F238" s="2" t="s">
        <v>282</v>
      </c>
      <c r="G238" s="35">
        <v>4.2</v>
      </c>
      <c r="H238" s="61">
        <v>0</v>
      </c>
      <c r="I238" s="35">
        <f>ROUND(G238*H238,2)</f>
        <v>0</v>
      </c>
      <c r="K238" s="51"/>
      <c r="Z238" s="35">
        <f>ROUND(IF(AQ238="5",BJ238,0),2)</f>
        <v>0</v>
      </c>
      <c r="AB238" s="35">
        <f>ROUND(IF(AQ238="1",BH238,0),2)</f>
        <v>0</v>
      </c>
      <c r="AC238" s="35">
        <f>ROUND(IF(AQ238="1",BI238,0),2)</f>
        <v>0</v>
      </c>
      <c r="AD238" s="35">
        <f>ROUND(IF(AQ238="7",BH238,0),2)</f>
        <v>0</v>
      </c>
      <c r="AE238" s="35">
        <f>ROUND(IF(AQ238="7",BI238,0),2)</f>
        <v>0</v>
      </c>
      <c r="AF238" s="35">
        <f>ROUND(IF(AQ238="2",BH238,0),2)</f>
        <v>0</v>
      </c>
      <c r="AG238" s="35">
        <f>ROUND(IF(AQ238="2",BI238,0),2)</f>
        <v>0</v>
      </c>
      <c r="AH238" s="35">
        <f>ROUND(IF(AQ238="0",BJ238,0),2)</f>
        <v>0</v>
      </c>
      <c r="AI238" s="46" t="s">
        <v>88</v>
      </c>
      <c r="AJ238" s="35">
        <f>IF(AN238=0,I238,0)</f>
        <v>0</v>
      </c>
      <c r="AK238" s="35">
        <f>IF(AN238=12,I238,0)</f>
        <v>0</v>
      </c>
      <c r="AL238" s="35">
        <f>IF(AN238=21,I238,0)</f>
        <v>0</v>
      </c>
      <c r="AN238" s="35">
        <v>21</v>
      </c>
      <c r="AO238" s="35">
        <f>H238*0.610246771</f>
        <v>0</v>
      </c>
      <c r="AP238" s="35">
        <f>H238*(1-0.610246771)</f>
        <v>0</v>
      </c>
      <c r="AQ238" s="62" t="s">
        <v>127</v>
      </c>
      <c r="AV238" s="35">
        <f>ROUND(AW238+AX238,2)</f>
        <v>0</v>
      </c>
      <c r="AW238" s="35">
        <f>ROUND(G238*AO238,2)</f>
        <v>0</v>
      </c>
      <c r="AX238" s="35">
        <f>ROUND(G238*AP238,2)</f>
        <v>0</v>
      </c>
      <c r="AY238" s="62" t="s">
        <v>448</v>
      </c>
      <c r="AZ238" s="62" t="s">
        <v>599</v>
      </c>
      <c r="BA238" s="46" t="s">
        <v>581</v>
      </c>
      <c r="BC238" s="35">
        <f>AW238+AX238</f>
        <v>0</v>
      </c>
      <c r="BD238" s="35">
        <f>H238/(100-BE238)*100</f>
        <v>0</v>
      </c>
      <c r="BE238" s="35">
        <v>0</v>
      </c>
      <c r="BF238" s="35">
        <f>238</f>
        <v>238</v>
      </c>
      <c r="BH238" s="35">
        <f>G238*AO238</f>
        <v>0</v>
      </c>
      <c r="BI238" s="35">
        <f>G238*AP238</f>
        <v>0</v>
      </c>
      <c r="BJ238" s="35">
        <f>G238*H238</f>
        <v>0</v>
      </c>
      <c r="BK238" s="62" t="s">
        <v>135</v>
      </c>
      <c r="BL238" s="35">
        <v>91</v>
      </c>
      <c r="BW238" s="35">
        <v>21</v>
      </c>
      <c r="BX238" s="3" t="s">
        <v>470</v>
      </c>
    </row>
    <row r="239" spans="1:76">
      <c r="A239" s="1" t="s">
        <v>608</v>
      </c>
      <c r="B239" s="2" t="s">
        <v>88</v>
      </c>
      <c r="C239" s="2" t="s">
        <v>472</v>
      </c>
      <c r="D239" s="92" t="s">
        <v>473</v>
      </c>
      <c r="E239" s="87"/>
      <c r="F239" s="2" t="s">
        <v>321</v>
      </c>
      <c r="G239" s="35">
        <v>5</v>
      </c>
      <c r="H239" s="61">
        <v>0</v>
      </c>
      <c r="I239" s="35">
        <f>ROUND(G239*H239,2)</f>
        <v>0</v>
      </c>
      <c r="K239" s="51"/>
      <c r="Z239" s="35">
        <f>ROUND(IF(AQ239="5",BJ239,0),2)</f>
        <v>0</v>
      </c>
      <c r="AB239" s="35">
        <f>ROUND(IF(AQ239="1",BH239,0),2)</f>
        <v>0</v>
      </c>
      <c r="AC239" s="35">
        <f>ROUND(IF(AQ239="1",BI239,0),2)</f>
        <v>0</v>
      </c>
      <c r="AD239" s="35">
        <f>ROUND(IF(AQ239="7",BH239,0),2)</f>
        <v>0</v>
      </c>
      <c r="AE239" s="35">
        <f>ROUND(IF(AQ239="7",BI239,0),2)</f>
        <v>0</v>
      </c>
      <c r="AF239" s="35">
        <f>ROUND(IF(AQ239="2",BH239,0),2)</f>
        <v>0</v>
      </c>
      <c r="AG239" s="35">
        <f>ROUND(IF(AQ239="2",BI239,0),2)</f>
        <v>0</v>
      </c>
      <c r="AH239" s="35">
        <f>ROUND(IF(AQ239="0",BJ239,0),2)</f>
        <v>0</v>
      </c>
      <c r="AI239" s="46" t="s">
        <v>88</v>
      </c>
      <c r="AJ239" s="35">
        <f>IF(AN239=0,I239,0)</f>
        <v>0</v>
      </c>
      <c r="AK239" s="35">
        <f>IF(AN239=12,I239,0)</f>
        <v>0</v>
      </c>
      <c r="AL239" s="35">
        <f>IF(AN239=21,I239,0)</f>
        <v>0</v>
      </c>
      <c r="AN239" s="35">
        <v>21</v>
      </c>
      <c r="AO239" s="35">
        <f>H239*1</f>
        <v>0</v>
      </c>
      <c r="AP239" s="35">
        <f>H239*(1-1)</f>
        <v>0</v>
      </c>
      <c r="AQ239" s="62" t="s">
        <v>127</v>
      </c>
      <c r="AV239" s="35">
        <f>ROUND(AW239+AX239,2)</f>
        <v>0</v>
      </c>
      <c r="AW239" s="35">
        <f>ROUND(G239*AO239,2)</f>
        <v>0</v>
      </c>
      <c r="AX239" s="35">
        <f>ROUND(G239*AP239,2)</f>
        <v>0</v>
      </c>
      <c r="AY239" s="62" t="s">
        <v>448</v>
      </c>
      <c r="AZ239" s="62" t="s">
        <v>599</v>
      </c>
      <c r="BA239" s="46" t="s">
        <v>581</v>
      </c>
      <c r="BC239" s="35">
        <f>AW239+AX239</f>
        <v>0</v>
      </c>
      <c r="BD239" s="35">
        <f>H239/(100-BE239)*100</f>
        <v>0</v>
      </c>
      <c r="BE239" s="35">
        <v>0</v>
      </c>
      <c r="BF239" s="35">
        <f>239</f>
        <v>239</v>
      </c>
      <c r="BH239" s="35">
        <f>G239*AO239</f>
        <v>0</v>
      </c>
      <c r="BI239" s="35">
        <f>G239*AP239</f>
        <v>0</v>
      </c>
      <c r="BJ239" s="35">
        <f>G239*H239</f>
        <v>0</v>
      </c>
      <c r="BK239" s="62" t="s">
        <v>277</v>
      </c>
      <c r="BL239" s="35">
        <v>91</v>
      </c>
      <c r="BW239" s="35">
        <v>21</v>
      </c>
      <c r="BX239" s="3" t="s">
        <v>473</v>
      </c>
    </row>
    <row r="240" spans="1:76">
      <c r="A240" s="1" t="s">
        <v>609</v>
      </c>
      <c r="B240" s="2" t="s">
        <v>88</v>
      </c>
      <c r="C240" s="2" t="s">
        <v>466</v>
      </c>
      <c r="D240" s="92" t="s">
        <v>463</v>
      </c>
      <c r="E240" s="87"/>
      <c r="F240" s="2" t="s">
        <v>282</v>
      </c>
      <c r="G240" s="35">
        <v>2</v>
      </c>
      <c r="H240" s="61">
        <v>0</v>
      </c>
      <c r="I240" s="35">
        <f>ROUND(G240*H240,2)</f>
        <v>0</v>
      </c>
      <c r="K240" s="51"/>
      <c r="Z240" s="35">
        <f>ROUND(IF(AQ240="5",BJ240,0),2)</f>
        <v>0</v>
      </c>
      <c r="AB240" s="35">
        <f>ROUND(IF(AQ240="1",BH240,0),2)</f>
        <v>0</v>
      </c>
      <c r="AC240" s="35">
        <f>ROUND(IF(AQ240="1",BI240,0),2)</f>
        <v>0</v>
      </c>
      <c r="AD240" s="35">
        <f>ROUND(IF(AQ240="7",BH240,0),2)</f>
        <v>0</v>
      </c>
      <c r="AE240" s="35">
        <f>ROUND(IF(AQ240="7",BI240,0),2)</f>
        <v>0</v>
      </c>
      <c r="AF240" s="35">
        <f>ROUND(IF(AQ240="2",BH240,0),2)</f>
        <v>0</v>
      </c>
      <c r="AG240" s="35">
        <f>ROUND(IF(AQ240="2",BI240,0),2)</f>
        <v>0</v>
      </c>
      <c r="AH240" s="35">
        <f>ROUND(IF(AQ240="0",BJ240,0),2)</f>
        <v>0</v>
      </c>
      <c r="AI240" s="46" t="s">
        <v>88</v>
      </c>
      <c r="AJ240" s="35">
        <f>IF(AN240=0,I240,0)</f>
        <v>0</v>
      </c>
      <c r="AK240" s="35">
        <f>IF(AN240=12,I240,0)</f>
        <v>0</v>
      </c>
      <c r="AL240" s="35">
        <f>IF(AN240=21,I240,0)</f>
        <v>0</v>
      </c>
      <c r="AN240" s="35">
        <v>21</v>
      </c>
      <c r="AO240" s="35">
        <f>H240*0.729981917</f>
        <v>0</v>
      </c>
      <c r="AP240" s="35">
        <f>H240*(1-0.729981917)</f>
        <v>0</v>
      </c>
      <c r="AQ240" s="62" t="s">
        <v>127</v>
      </c>
      <c r="AV240" s="35">
        <f>ROUND(AW240+AX240,2)</f>
        <v>0</v>
      </c>
      <c r="AW240" s="35">
        <f>ROUND(G240*AO240,2)</f>
        <v>0</v>
      </c>
      <c r="AX240" s="35">
        <f>ROUND(G240*AP240,2)</f>
        <v>0</v>
      </c>
      <c r="AY240" s="62" t="s">
        <v>448</v>
      </c>
      <c r="AZ240" s="62" t="s">
        <v>599</v>
      </c>
      <c r="BA240" s="46" t="s">
        <v>581</v>
      </c>
      <c r="BC240" s="35">
        <f>AW240+AX240</f>
        <v>0</v>
      </c>
      <c r="BD240" s="35">
        <f>H240/(100-BE240)*100</f>
        <v>0</v>
      </c>
      <c r="BE240" s="35">
        <v>0</v>
      </c>
      <c r="BF240" s="35">
        <f>240</f>
        <v>240</v>
      </c>
      <c r="BH240" s="35">
        <f>G240*AO240</f>
        <v>0</v>
      </c>
      <c r="BI240" s="35">
        <f>G240*AP240</f>
        <v>0</v>
      </c>
      <c r="BJ240" s="35">
        <f>G240*H240</f>
        <v>0</v>
      </c>
      <c r="BK240" s="62" t="s">
        <v>135</v>
      </c>
      <c r="BL240" s="35">
        <v>91</v>
      </c>
      <c r="BW240" s="35">
        <v>21</v>
      </c>
      <c r="BX240" s="3" t="s">
        <v>463</v>
      </c>
    </row>
    <row r="241" spans="1:76" ht="13.5" customHeight="1">
      <c r="A241" s="68"/>
      <c r="C241" s="72" t="s">
        <v>337</v>
      </c>
      <c r="D241" s="178" t="s">
        <v>467</v>
      </c>
      <c r="E241" s="179"/>
      <c r="F241" s="179"/>
      <c r="G241" s="179"/>
      <c r="H241" s="180"/>
      <c r="I241" s="179"/>
      <c r="J241" s="179"/>
      <c r="K241" s="181"/>
    </row>
    <row r="242" spans="1:76">
      <c r="A242" s="1" t="s">
        <v>610</v>
      </c>
      <c r="B242" s="2" t="s">
        <v>88</v>
      </c>
      <c r="C242" s="2" t="s">
        <v>462</v>
      </c>
      <c r="D242" s="92" t="s">
        <v>463</v>
      </c>
      <c r="E242" s="87"/>
      <c r="F242" s="2" t="s">
        <v>282</v>
      </c>
      <c r="G242" s="35">
        <v>1</v>
      </c>
      <c r="H242" s="61">
        <v>0</v>
      </c>
      <c r="I242" s="35">
        <f>ROUND(G242*H242,2)</f>
        <v>0</v>
      </c>
      <c r="K242" s="51"/>
      <c r="Z242" s="35">
        <f>ROUND(IF(AQ242="5",BJ242,0),2)</f>
        <v>0</v>
      </c>
      <c r="AB242" s="35">
        <f>ROUND(IF(AQ242="1",BH242,0),2)</f>
        <v>0</v>
      </c>
      <c r="AC242" s="35">
        <f>ROUND(IF(AQ242="1",BI242,0),2)</f>
        <v>0</v>
      </c>
      <c r="AD242" s="35">
        <f>ROUND(IF(AQ242="7",BH242,0),2)</f>
        <v>0</v>
      </c>
      <c r="AE242" s="35">
        <f>ROUND(IF(AQ242="7",BI242,0),2)</f>
        <v>0</v>
      </c>
      <c r="AF242" s="35">
        <f>ROUND(IF(AQ242="2",BH242,0),2)</f>
        <v>0</v>
      </c>
      <c r="AG242" s="35">
        <f>ROUND(IF(AQ242="2",BI242,0),2)</f>
        <v>0</v>
      </c>
      <c r="AH242" s="35">
        <f>ROUND(IF(AQ242="0",BJ242,0),2)</f>
        <v>0</v>
      </c>
      <c r="AI242" s="46" t="s">
        <v>88</v>
      </c>
      <c r="AJ242" s="35">
        <f>IF(AN242=0,I242,0)</f>
        <v>0</v>
      </c>
      <c r="AK242" s="35">
        <f>IF(AN242=12,I242,0)</f>
        <v>0</v>
      </c>
      <c r="AL242" s="35">
        <f>IF(AN242=21,I242,0)</f>
        <v>0</v>
      </c>
      <c r="AN242" s="35">
        <v>21</v>
      </c>
      <c r="AO242" s="35">
        <f>H242*0.831085973</f>
        <v>0</v>
      </c>
      <c r="AP242" s="35">
        <f>H242*(1-0.831085973)</f>
        <v>0</v>
      </c>
      <c r="AQ242" s="62" t="s">
        <v>127</v>
      </c>
      <c r="AV242" s="35">
        <f>ROUND(AW242+AX242,2)</f>
        <v>0</v>
      </c>
      <c r="AW242" s="35">
        <f>ROUND(G242*AO242,2)</f>
        <v>0</v>
      </c>
      <c r="AX242" s="35">
        <f>ROUND(G242*AP242,2)</f>
        <v>0</v>
      </c>
      <c r="AY242" s="62" t="s">
        <v>448</v>
      </c>
      <c r="AZ242" s="62" t="s">
        <v>599</v>
      </c>
      <c r="BA242" s="46" t="s">
        <v>581</v>
      </c>
      <c r="BC242" s="35">
        <f>AW242+AX242</f>
        <v>0</v>
      </c>
      <c r="BD242" s="35">
        <f>H242/(100-BE242)*100</f>
        <v>0</v>
      </c>
      <c r="BE242" s="35">
        <v>0</v>
      </c>
      <c r="BF242" s="35">
        <f>242</f>
        <v>242</v>
      </c>
      <c r="BH242" s="35">
        <f>G242*AO242</f>
        <v>0</v>
      </c>
      <c r="BI242" s="35">
        <f>G242*AP242</f>
        <v>0</v>
      </c>
      <c r="BJ242" s="35">
        <f>G242*H242</f>
        <v>0</v>
      </c>
      <c r="BK242" s="62" t="s">
        <v>135</v>
      </c>
      <c r="BL242" s="35">
        <v>91</v>
      </c>
      <c r="BW242" s="35">
        <v>21</v>
      </c>
      <c r="BX242" s="3" t="s">
        <v>463</v>
      </c>
    </row>
    <row r="243" spans="1:76" ht="13.5" customHeight="1">
      <c r="A243" s="68"/>
      <c r="C243" s="72" t="s">
        <v>337</v>
      </c>
      <c r="D243" s="178" t="s">
        <v>464</v>
      </c>
      <c r="E243" s="179"/>
      <c r="F243" s="179"/>
      <c r="G243" s="179"/>
      <c r="H243" s="180"/>
      <c r="I243" s="179"/>
      <c r="J243" s="179"/>
      <c r="K243" s="181"/>
    </row>
    <row r="244" spans="1:76">
      <c r="A244" s="1" t="s">
        <v>611</v>
      </c>
      <c r="B244" s="2" t="s">
        <v>88</v>
      </c>
      <c r="C244" s="2" t="s">
        <v>612</v>
      </c>
      <c r="D244" s="92" t="s">
        <v>613</v>
      </c>
      <c r="E244" s="87"/>
      <c r="F244" s="2" t="s">
        <v>282</v>
      </c>
      <c r="G244" s="35">
        <v>3.5</v>
      </c>
      <c r="H244" s="61">
        <v>0</v>
      </c>
      <c r="I244" s="35">
        <f>ROUND(G244*H244,2)</f>
        <v>0</v>
      </c>
      <c r="K244" s="51"/>
      <c r="Z244" s="35">
        <f>ROUND(IF(AQ244="5",BJ244,0),2)</f>
        <v>0</v>
      </c>
      <c r="AB244" s="35">
        <f>ROUND(IF(AQ244="1",BH244,0),2)</f>
        <v>0</v>
      </c>
      <c r="AC244" s="35">
        <f>ROUND(IF(AQ244="1",BI244,0),2)</f>
        <v>0</v>
      </c>
      <c r="AD244" s="35">
        <f>ROUND(IF(AQ244="7",BH244,0),2)</f>
        <v>0</v>
      </c>
      <c r="AE244" s="35">
        <f>ROUND(IF(AQ244="7",BI244,0),2)</f>
        <v>0</v>
      </c>
      <c r="AF244" s="35">
        <f>ROUND(IF(AQ244="2",BH244,0),2)</f>
        <v>0</v>
      </c>
      <c r="AG244" s="35">
        <f>ROUND(IF(AQ244="2",BI244,0),2)</f>
        <v>0</v>
      </c>
      <c r="AH244" s="35">
        <f>ROUND(IF(AQ244="0",BJ244,0),2)</f>
        <v>0</v>
      </c>
      <c r="AI244" s="46" t="s">
        <v>88</v>
      </c>
      <c r="AJ244" s="35">
        <f>IF(AN244=0,I244,0)</f>
        <v>0</v>
      </c>
      <c r="AK244" s="35">
        <f>IF(AN244=12,I244,0)</f>
        <v>0</v>
      </c>
      <c r="AL244" s="35">
        <f>IF(AN244=21,I244,0)</f>
        <v>0</v>
      </c>
      <c r="AN244" s="35">
        <v>21</v>
      </c>
      <c r="AO244" s="35">
        <f>H244*0.67754266</f>
        <v>0</v>
      </c>
      <c r="AP244" s="35">
        <f>H244*(1-0.67754266)</f>
        <v>0</v>
      </c>
      <c r="AQ244" s="62" t="s">
        <v>127</v>
      </c>
      <c r="AV244" s="35">
        <f>ROUND(AW244+AX244,2)</f>
        <v>0</v>
      </c>
      <c r="AW244" s="35">
        <f>ROUND(G244*AO244,2)</f>
        <v>0</v>
      </c>
      <c r="AX244" s="35">
        <f>ROUND(G244*AP244,2)</f>
        <v>0</v>
      </c>
      <c r="AY244" s="62" t="s">
        <v>448</v>
      </c>
      <c r="AZ244" s="62" t="s">
        <v>599</v>
      </c>
      <c r="BA244" s="46" t="s">
        <v>581</v>
      </c>
      <c r="BC244" s="35">
        <f>AW244+AX244</f>
        <v>0</v>
      </c>
      <c r="BD244" s="35">
        <f>H244/(100-BE244)*100</f>
        <v>0</v>
      </c>
      <c r="BE244" s="35">
        <v>0</v>
      </c>
      <c r="BF244" s="35">
        <f>244</f>
        <v>244</v>
      </c>
      <c r="BH244" s="35">
        <f>G244*AO244</f>
        <v>0</v>
      </c>
      <c r="BI244" s="35">
        <f>G244*AP244</f>
        <v>0</v>
      </c>
      <c r="BJ244" s="35">
        <f>G244*H244</f>
        <v>0</v>
      </c>
      <c r="BK244" s="62" t="s">
        <v>135</v>
      </c>
      <c r="BL244" s="35">
        <v>91</v>
      </c>
      <c r="BW244" s="35">
        <v>21</v>
      </c>
      <c r="BX244" s="3" t="s">
        <v>613</v>
      </c>
    </row>
    <row r="245" spans="1:76" ht="13.5" customHeight="1">
      <c r="A245" s="68"/>
      <c r="C245" s="72" t="s">
        <v>337</v>
      </c>
      <c r="D245" s="178" t="s">
        <v>614</v>
      </c>
      <c r="E245" s="179"/>
      <c r="F245" s="179"/>
      <c r="G245" s="179"/>
      <c r="H245" s="180"/>
      <c r="I245" s="179"/>
      <c r="J245" s="179"/>
      <c r="K245" s="181"/>
    </row>
    <row r="246" spans="1:76">
      <c r="A246" s="1" t="s">
        <v>526</v>
      </c>
      <c r="B246" s="2" t="s">
        <v>88</v>
      </c>
      <c r="C246" s="2" t="s">
        <v>509</v>
      </c>
      <c r="D246" s="92" t="s">
        <v>510</v>
      </c>
      <c r="E246" s="87"/>
      <c r="F246" s="2" t="s">
        <v>192</v>
      </c>
      <c r="G246" s="35">
        <v>18</v>
      </c>
      <c r="H246" s="61">
        <v>0</v>
      </c>
      <c r="I246" s="35">
        <f>ROUND(G246*H246,2)</f>
        <v>0</v>
      </c>
      <c r="K246" s="51"/>
      <c r="Z246" s="35">
        <f>ROUND(IF(AQ246="5",BJ246,0),2)</f>
        <v>0</v>
      </c>
      <c r="AB246" s="35">
        <f>ROUND(IF(AQ246="1",BH246,0),2)</f>
        <v>0</v>
      </c>
      <c r="AC246" s="35">
        <f>ROUND(IF(AQ246="1",BI246,0),2)</f>
        <v>0</v>
      </c>
      <c r="AD246" s="35">
        <f>ROUND(IF(AQ246="7",BH246,0),2)</f>
        <v>0</v>
      </c>
      <c r="AE246" s="35">
        <f>ROUND(IF(AQ246="7",BI246,0),2)</f>
        <v>0</v>
      </c>
      <c r="AF246" s="35">
        <f>ROUND(IF(AQ246="2",BH246,0),2)</f>
        <v>0</v>
      </c>
      <c r="AG246" s="35">
        <f>ROUND(IF(AQ246="2",BI246,0),2)</f>
        <v>0</v>
      </c>
      <c r="AH246" s="35">
        <f>ROUND(IF(AQ246="0",BJ246,0),2)</f>
        <v>0</v>
      </c>
      <c r="AI246" s="46" t="s">
        <v>88</v>
      </c>
      <c r="AJ246" s="35">
        <f>IF(AN246=0,I246,0)</f>
        <v>0</v>
      </c>
      <c r="AK246" s="35">
        <f>IF(AN246=12,I246,0)</f>
        <v>0</v>
      </c>
      <c r="AL246" s="35">
        <f>IF(AN246=21,I246,0)</f>
        <v>0</v>
      </c>
      <c r="AN246" s="35">
        <v>21</v>
      </c>
      <c r="AO246" s="35">
        <f>H246*0</f>
        <v>0</v>
      </c>
      <c r="AP246" s="35">
        <f>H246*(1-0)</f>
        <v>0</v>
      </c>
      <c r="AQ246" s="62" t="s">
        <v>127</v>
      </c>
      <c r="AV246" s="35">
        <f>ROUND(AW246+AX246,2)</f>
        <v>0</v>
      </c>
      <c r="AW246" s="35">
        <f>ROUND(G246*AO246,2)</f>
        <v>0</v>
      </c>
      <c r="AX246" s="35">
        <f>ROUND(G246*AP246,2)</f>
        <v>0</v>
      </c>
      <c r="AY246" s="62" t="s">
        <v>448</v>
      </c>
      <c r="AZ246" s="62" t="s">
        <v>599</v>
      </c>
      <c r="BA246" s="46" t="s">
        <v>581</v>
      </c>
      <c r="BC246" s="35">
        <f>AW246+AX246</f>
        <v>0</v>
      </c>
      <c r="BD246" s="35">
        <f>H246/(100-BE246)*100</f>
        <v>0</v>
      </c>
      <c r="BE246" s="35">
        <v>0</v>
      </c>
      <c r="BF246" s="35">
        <f>246</f>
        <v>246</v>
      </c>
      <c r="BH246" s="35">
        <f>G246*AO246</f>
        <v>0</v>
      </c>
      <c r="BI246" s="35">
        <f>G246*AP246</f>
        <v>0</v>
      </c>
      <c r="BJ246" s="35">
        <f>G246*H246</f>
        <v>0</v>
      </c>
      <c r="BK246" s="62" t="s">
        <v>135</v>
      </c>
      <c r="BL246" s="35">
        <v>91</v>
      </c>
      <c r="BW246" s="35">
        <v>21</v>
      </c>
      <c r="BX246" s="3" t="s">
        <v>510</v>
      </c>
    </row>
    <row r="247" spans="1:76">
      <c r="A247" s="68"/>
      <c r="D247" s="69" t="s">
        <v>615</v>
      </c>
      <c r="E247" s="70" t="s">
        <v>616</v>
      </c>
      <c r="G247" s="71">
        <v>18</v>
      </c>
      <c r="K247" s="51"/>
    </row>
    <row r="248" spans="1:76">
      <c r="A248" s="57" t="s">
        <v>4</v>
      </c>
      <c r="B248" s="58" t="s">
        <v>88</v>
      </c>
      <c r="C248" s="58" t="s">
        <v>518</v>
      </c>
      <c r="D248" s="174" t="s">
        <v>519</v>
      </c>
      <c r="E248" s="175"/>
      <c r="F248" s="59" t="s">
        <v>79</v>
      </c>
      <c r="G248" s="59" t="s">
        <v>79</v>
      </c>
      <c r="H248" s="60" t="s">
        <v>79</v>
      </c>
      <c r="I248" s="40">
        <f>SUM(I249:I259)</f>
        <v>0</v>
      </c>
      <c r="K248" s="51"/>
      <c r="AI248" s="46" t="s">
        <v>88</v>
      </c>
      <c r="AS248" s="40">
        <f>SUM(AJ249:AJ259)</f>
        <v>0</v>
      </c>
      <c r="AT248" s="40">
        <f>SUM(AK249:AK259)</f>
        <v>0</v>
      </c>
      <c r="AU248" s="40">
        <f>SUM(AL249:AL259)</f>
        <v>0</v>
      </c>
    </row>
    <row r="249" spans="1:76">
      <c r="A249" s="1" t="s">
        <v>617</v>
      </c>
      <c r="B249" s="2" t="s">
        <v>88</v>
      </c>
      <c r="C249" s="2" t="s">
        <v>524</v>
      </c>
      <c r="D249" s="92" t="s">
        <v>525</v>
      </c>
      <c r="E249" s="87"/>
      <c r="F249" s="2" t="s">
        <v>282</v>
      </c>
      <c r="G249" s="35">
        <v>6.5</v>
      </c>
      <c r="H249" s="61">
        <v>0</v>
      </c>
      <c r="I249" s="35">
        <f>ROUND(G249*H249,2)</f>
        <v>0</v>
      </c>
      <c r="K249" s="51"/>
      <c r="Z249" s="35">
        <f>ROUND(IF(AQ249="5",BJ249,0),2)</f>
        <v>0</v>
      </c>
      <c r="AB249" s="35">
        <f>ROUND(IF(AQ249="1",BH249,0),2)</f>
        <v>0</v>
      </c>
      <c r="AC249" s="35">
        <f>ROUND(IF(AQ249="1",BI249,0),2)</f>
        <v>0</v>
      </c>
      <c r="AD249" s="35">
        <f>ROUND(IF(AQ249="7",BH249,0),2)</f>
        <v>0</v>
      </c>
      <c r="AE249" s="35">
        <f>ROUND(IF(AQ249="7",BI249,0),2)</f>
        <v>0</v>
      </c>
      <c r="AF249" s="35">
        <f>ROUND(IF(AQ249="2",BH249,0),2)</f>
        <v>0</v>
      </c>
      <c r="AG249" s="35">
        <f>ROUND(IF(AQ249="2",BI249,0),2)</f>
        <v>0</v>
      </c>
      <c r="AH249" s="35">
        <f>ROUND(IF(AQ249="0",BJ249,0),2)</f>
        <v>0</v>
      </c>
      <c r="AI249" s="46" t="s">
        <v>88</v>
      </c>
      <c r="AJ249" s="35">
        <f>IF(AN249=0,I249,0)</f>
        <v>0</v>
      </c>
      <c r="AK249" s="35">
        <f>IF(AN249=12,I249,0)</f>
        <v>0</v>
      </c>
      <c r="AL249" s="35">
        <f>IF(AN249=21,I249,0)</f>
        <v>0</v>
      </c>
      <c r="AN249" s="35">
        <v>21</v>
      </c>
      <c r="AO249" s="35">
        <f>H249*0</f>
        <v>0</v>
      </c>
      <c r="AP249" s="35">
        <f>H249*(1-0)</f>
        <v>0</v>
      </c>
      <c r="AQ249" s="62" t="s">
        <v>127</v>
      </c>
      <c r="AV249" s="35">
        <f>ROUND(AW249+AX249,2)</f>
        <v>0</v>
      </c>
      <c r="AW249" s="35">
        <f>ROUND(G249*AO249,2)</f>
        <v>0</v>
      </c>
      <c r="AX249" s="35">
        <f>ROUND(G249*AP249,2)</f>
        <v>0</v>
      </c>
      <c r="AY249" s="62" t="s">
        <v>522</v>
      </c>
      <c r="AZ249" s="62" t="s">
        <v>599</v>
      </c>
      <c r="BA249" s="46" t="s">
        <v>581</v>
      </c>
      <c r="BC249" s="35">
        <f>AW249+AX249</f>
        <v>0</v>
      </c>
      <c r="BD249" s="35">
        <f>H249/(100-BE249)*100</f>
        <v>0</v>
      </c>
      <c r="BE249" s="35">
        <v>0</v>
      </c>
      <c r="BF249" s="35">
        <f>249</f>
        <v>249</v>
      </c>
      <c r="BH249" s="35">
        <f>G249*AO249</f>
        <v>0</v>
      </c>
      <c r="BI249" s="35">
        <f>G249*AP249</f>
        <v>0</v>
      </c>
      <c r="BJ249" s="35">
        <f>G249*H249</f>
        <v>0</v>
      </c>
      <c r="BK249" s="62" t="s">
        <v>135</v>
      </c>
      <c r="BL249" s="35">
        <v>96</v>
      </c>
      <c r="BW249" s="35">
        <v>21</v>
      </c>
      <c r="BX249" s="3" t="s">
        <v>525</v>
      </c>
    </row>
    <row r="250" spans="1:76">
      <c r="A250" s="68"/>
      <c r="D250" s="69" t="s">
        <v>618</v>
      </c>
      <c r="E250" s="70" t="s">
        <v>619</v>
      </c>
      <c r="G250" s="71">
        <v>3.5</v>
      </c>
      <c r="K250" s="51"/>
    </row>
    <row r="251" spans="1:76">
      <c r="A251" s="68"/>
      <c r="D251" s="69" t="s">
        <v>139</v>
      </c>
      <c r="E251" s="70" t="s">
        <v>527</v>
      </c>
      <c r="G251" s="71">
        <v>3</v>
      </c>
      <c r="K251" s="51"/>
    </row>
    <row r="252" spans="1:76">
      <c r="A252" s="1" t="s">
        <v>620</v>
      </c>
      <c r="B252" s="2" t="s">
        <v>88</v>
      </c>
      <c r="C252" s="2" t="s">
        <v>529</v>
      </c>
      <c r="D252" s="92" t="s">
        <v>530</v>
      </c>
      <c r="E252" s="87"/>
      <c r="F252" s="2" t="s">
        <v>282</v>
      </c>
      <c r="G252" s="35">
        <v>4.2</v>
      </c>
      <c r="H252" s="61">
        <v>0</v>
      </c>
      <c r="I252" s="35">
        <f>ROUND(G252*H252,2)</f>
        <v>0</v>
      </c>
      <c r="K252" s="51"/>
      <c r="Z252" s="35">
        <f>ROUND(IF(AQ252="5",BJ252,0),2)</f>
        <v>0</v>
      </c>
      <c r="AB252" s="35">
        <f>ROUND(IF(AQ252="1",BH252,0),2)</f>
        <v>0</v>
      </c>
      <c r="AC252" s="35">
        <f>ROUND(IF(AQ252="1",BI252,0),2)</f>
        <v>0</v>
      </c>
      <c r="AD252" s="35">
        <f>ROUND(IF(AQ252="7",BH252,0),2)</f>
        <v>0</v>
      </c>
      <c r="AE252" s="35">
        <f>ROUND(IF(AQ252="7",BI252,0),2)</f>
        <v>0</v>
      </c>
      <c r="AF252" s="35">
        <f>ROUND(IF(AQ252="2",BH252,0),2)</f>
        <v>0</v>
      </c>
      <c r="AG252" s="35">
        <f>ROUND(IF(AQ252="2",BI252,0),2)</f>
        <v>0</v>
      </c>
      <c r="AH252" s="35">
        <f>ROUND(IF(AQ252="0",BJ252,0),2)</f>
        <v>0</v>
      </c>
      <c r="AI252" s="46" t="s">
        <v>88</v>
      </c>
      <c r="AJ252" s="35">
        <f>IF(AN252=0,I252,0)</f>
        <v>0</v>
      </c>
      <c r="AK252" s="35">
        <f>IF(AN252=12,I252,0)</f>
        <v>0</v>
      </c>
      <c r="AL252" s="35">
        <f>IF(AN252=21,I252,0)</f>
        <v>0</v>
      </c>
      <c r="AN252" s="35">
        <v>21</v>
      </c>
      <c r="AO252" s="35">
        <f>H252*0</f>
        <v>0</v>
      </c>
      <c r="AP252" s="35">
        <f>H252*(1-0)</f>
        <v>0</v>
      </c>
      <c r="AQ252" s="62" t="s">
        <v>127</v>
      </c>
      <c r="AV252" s="35">
        <f>ROUND(AW252+AX252,2)</f>
        <v>0</v>
      </c>
      <c r="AW252" s="35">
        <f>ROUND(G252*AO252,2)</f>
        <v>0</v>
      </c>
      <c r="AX252" s="35">
        <f>ROUND(G252*AP252,2)</f>
        <v>0</v>
      </c>
      <c r="AY252" s="62" t="s">
        <v>522</v>
      </c>
      <c r="AZ252" s="62" t="s">
        <v>599</v>
      </c>
      <c r="BA252" s="46" t="s">
        <v>581</v>
      </c>
      <c r="BC252" s="35">
        <f>AW252+AX252</f>
        <v>0</v>
      </c>
      <c r="BD252" s="35">
        <f>H252/(100-BE252)*100</f>
        <v>0</v>
      </c>
      <c r="BE252" s="35">
        <v>0</v>
      </c>
      <c r="BF252" s="35">
        <f>252</f>
        <v>252</v>
      </c>
      <c r="BH252" s="35">
        <f>G252*AO252</f>
        <v>0</v>
      </c>
      <c r="BI252" s="35">
        <f>G252*AP252</f>
        <v>0</v>
      </c>
      <c r="BJ252" s="35">
        <f>G252*H252</f>
        <v>0</v>
      </c>
      <c r="BK252" s="62" t="s">
        <v>135</v>
      </c>
      <c r="BL252" s="35">
        <v>96</v>
      </c>
      <c r="BW252" s="35">
        <v>21</v>
      </c>
      <c r="BX252" s="3" t="s">
        <v>530</v>
      </c>
    </row>
    <row r="253" spans="1:76">
      <c r="A253" s="1" t="s">
        <v>621</v>
      </c>
      <c r="B253" s="2" t="s">
        <v>88</v>
      </c>
      <c r="C253" s="2" t="s">
        <v>520</v>
      </c>
      <c r="D253" s="92" t="s">
        <v>521</v>
      </c>
      <c r="E253" s="87"/>
      <c r="F253" s="2" t="s">
        <v>192</v>
      </c>
      <c r="G253" s="35">
        <v>5</v>
      </c>
      <c r="H253" s="61">
        <v>0</v>
      </c>
      <c r="I253" s="35">
        <f>ROUND(G253*H253,2)</f>
        <v>0</v>
      </c>
      <c r="K253" s="51"/>
      <c r="Z253" s="35">
        <f>ROUND(IF(AQ253="5",BJ253,0),2)</f>
        <v>0</v>
      </c>
      <c r="AB253" s="35">
        <f>ROUND(IF(AQ253="1",BH253,0),2)</f>
        <v>0</v>
      </c>
      <c r="AC253" s="35">
        <f>ROUND(IF(AQ253="1",BI253,0),2)</f>
        <v>0</v>
      </c>
      <c r="AD253" s="35">
        <f>ROUND(IF(AQ253="7",BH253,0),2)</f>
        <v>0</v>
      </c>
      <c r="AE253" s="35">
        <f>ROUND(IF(AQ253="7",BI253,0),2)</f>
        <v>0</v>
      </c>
      <c r="AF253" s="35">
        <f>ROUND(IF(AQ253="2",BH253,0),2)</f>
        <v>0</v>
      </c>
      <c r="AG253" s="35">
        <f>ROUND(IF(AQ253="2",BI253,0),2)</f>
        <v>0</v>
      </c>
      <c r="AH253" s="35">
        <f>ROUND(IF(AQ253="0",BJ253,0),2)</f>
        <v>0</v>
      </c>
      <c r="AI253" s="46" t="s">
        <v>88</v>
      </c>
      <c r="AJ253" s="35">
        <f>IF(AN253=0,I253,0)</f>
        <v>0</v>
      </c>
      <c r="AK253" s="35">
        <f>IF(AN253=12,I253,0)</f>
        <v>0</v>
      </c>
      <c r="AL253" s="35">
        <f>IF(AN253=21,I253,0)</f>
        <v>0</v>
      </c>
      <c r="AN253" s="35">
        <v>21</v>
      </c>
      <c r="AO253" s="35">
        <f>H253*0</f>
        <v>0</v>
      </c>
      <c r="AP253" s="35">
        <f>H253*(1-0)</f>
        <v>0</v>
      </c>
      <c r="AQ253" s="62" t="s">
        <v>127</v>
      </c>
      <c r="AV253" s="35">
        <f>ROUND(AW253+AX253,2)</f>
        <v>0</v>
      </c>
      <c r="AW253" s="35">
        <f>ROUND(G253*AO253,2)</f>
        <v>0</v>
      </c>
      <c r="AX253" s="35">
        <f>ROUND(G253*AP253,2)</f>
        <v>0</v>
      </c>
      <c r="AY253" s="62" t="s">
        <v>522</v>
      </c>
      <c r="AZ253" s="62" t="s">
        <v>599</v>
      </c>
      <c r="BA253" s="46" t="s">
        <v>581</v>
      </c>
      <c r="BC253" s="35">
        <f>AW253+AX253</f>
        <v>0</v>
      </c>
      <c r="BD253" s="35">
        <f>H253/(100-BE253)*100</f>
        <v>0</v>
      </c>
      <c r="BE253" s="35">
        <v>0</v>
      </c>
      <c r="BF253" s="35">
        <f>253</f>
        <v>253</v>
      </c>
      <c r="BH253" s="35">
        <f>G253*AO253</f>
        <v>0</v>
      </c>
      <c r="BI253" s="35">
        <f>G253*AP253</f>
        <v>0</v>
      </c>
      <c r="BJ253" s="35">
        <f>G253*H253</f>
        <v>0</v>
      </c>
      <c r="BK253" s="62" t="s">
        <v>135</v>
      </c>
      <c r="BL253" s="35">
        <v>96</v>
      </c>
      <c r="BW253" s="35">
        <v>21</v>
      </c>
      <c r="BX253" s="3" t="s">
        <v>521</v>
      </c>
    </row>
    <row r="254" spans="1:76">
      <c r="A254" s="1" t="s">
        <v>622</v>
      </c>
      <c r="B254" s="2" t="s">
        <v>88</v>
      </c>
      <c r="C254" s="2" t="s">
        <v>204</v>
      </c>
      <c r="D254" s="92" t="s">
        <v>205</v>
      </c>
      <c r="E254" s="87"/>
      <c r="F254" s="2" t="s">
        <v>206</v>
      </c>
      <c r="G254" s="35">
        <v>3.1150000000000002</v>
      </c>
      <c r="H254" s="61">
        <v>0</v>
      </c>
      <c r="I254" s="35">
        <f>ROUND(G254*H254,2)</f>
        <v>0</v>
      </c>
      <c r="K254" s="51"/>
      <c r="Z254" s="35">
        <f>ROUND(IF(AQ254="5",BJ254,0),2)</f>
        <v>0</v>
      </c>
      <c r="AB254" s="35">
        <f>ROUND(IF(AQ254="1",BH254,0),2)</f>
        <v>0</v>
      </c>
      <c r="AC254" s="35">
        <f>ROUND(IF(AQ254="1",BI254,0),2)</f>
        <v>0</v>
      </c>
      <c r="AD254" s="35">
        <f>ROUND(IF(AQ254="7",BH254,0),2)</f>
        <v>0</v>
      </c>
      <c r="AE254" s="35">
        <f>ROUND(IF(AQ254="7",BI254,0),2)</f>
        <v>0</v>
      </c>
      <c r="AF254" s="35">
        <f>ROUND(IF(AQ254="2",BH254,0),2)</f>
        <v>0</v>
      </c>
      <c r="AG254" s="35">
        <f>ROUND(IF(AQ254="2",BI254,0),2)</f>
        <v>0</v>
      </c>
      <c r="AH254" s="35">
        <f>ROUND(IF(AQ254="0",BJ254,0),2)</f>
        <v>0</v>
      </c>
      <c r="AI254" s="46" t="s">
        <v>88</v>
      </c>
      <c r="AJ254" s="35">
        <f>IF(AN254=0,I254,0)</f>
        <v>0</v>
      </c>
      <c r="AK254" s="35">
        <f>IF(AN254=12,I254,0)</f>
        <v>0</v>
      </c>
      <c r="AL254" s="35">
        <f>IF(AN254=21,I254,0)</f>
        <v>0</v>
      </c>
      <c r="AN254" s="35">
        <v>21</v>
      </c>
      <c r="AO254" s="35">
        <f>H254*0</f>
        <v>0</v>
      </c>
      <c r="AP254" s="35">
        <f>H254*(1-0)</f>
        <v>0</v>
      </c>
      <c r="AQ254" s="62" t="s">
        <v>145</v>
      </c>
      <c r="AV254" s="35">
        <f>ROUND(AW254+AX254,2)</f>
        <v>0</v>
      </c>
      <c r="AW254" s="35">
        <f>ROUND(G254*AO254,2)</f>
        <v>0</v>
      </c>
      <c r="AX254" s="35">
        <f>ROUND(G254*AP254,2)</f>
        <v>0</v>
      </c>
      <c r="AY254" s="62" t="s">
        <v>522</v>
      </c>
      <c r="AZ254" s="62" t="s">
        <v>599</v>
      </c>
      <c r="BA254" s="46" t="s">
        <v>581</v>
      </c>
      <c r="BC254" s="35">
        <f>AW254+AX254</f>
        <v>0</v>
      </c>
      <c r="BD254" s="35">
        <f>H254/(100-BE254)*100</f>
        <v>0</v>
      </c>
      <c r="BE254" s="35">
        <v>0</v>
      </c>
      <c r="BF254" s="35">
        <f>254</f>
        <v>254</v>
      </c>
      <c r="BH254" s="35">
        <f>G254*AO254</f>
        <v>0</v>
      </c>
      <c r="BI254" s="35">
        <f>G254*AP254</f>
        <v>0</v>
      </c>
      <c r="BJ254" s="35">
        <f>G254*H254</f>
        <v>0</v>
      </c>
      <c r="BK254" s="62" t="s">
        <v>135</v>
      </c>
      <c r="BL254" s="35">
        <v>96</v>
      </c>
      <c r="BW254" s="35">
        <v>21</v>
      </c>
      <c r="BX254" s="3" t="s">
        <v>205</v>
      </c>
    </row>
    <row r="255" spans="1:76">
      <c r="A255" s="1" t="s">
        <v>623</v>
      </c>
      <c r="B255" s="2" t="s">
        <v>88</v>
      </c>
      <c r="C255" s="2" t="s">
        <v>208</v>
      </c>
      <c r="D255" s="92" t="s">
        <v>209</v>
      </c>
      <c r="E255" s="87"/>
      <c r="F255" s="2" t="s">
        <v>206</v>
      </c>
      <c r="G255" s="35">
        <v>46.725000000000001</v>
      </c>
      <c r="H255" s="61">
        <v>0</v>
      </c>
      <c r="I255" s="35">
        <f>ROUND(G255*H255,2)</f>
        <v>0</v>
      </c>
      <c r="K255" s="51"/>
      <c r="Z255" s="35">
        <f>ROUND(IF(AQ255="5",BJ255,0),2)</f>
        <v>0</v>
      </c>
      <c r="AB255" s="35">
        <f>ROUND(IF(AQ255="1",BH255,0),2)</f>
        <v>0</v>
      </c>
      <c r="AC255" s="35">
        <f>ROUND(IF(AQ255="1",BI255,0),2)</f>
        <v>0</v>
      </c>
      <c r="AD255" s="35">
        <f>ROUND(IF(AQ255="7",BH255,0),2)</f>
        <v>0</v>
      </c>
      <c r="AE255" s="35">
        <f>ROUND(IF(AQ255="7",BI255,0),2)</f>
        <v>0</v>
      </c>
      <c r="AF255" s="35">
        <f>ROUND(IF(AQ255="2",BH255,0),2)</f>
        <v>0</v>
      </c>
      <c r="AG255" s="35">
        <f>ROUND(IF(AQ255="2",BI255,0),2)</f>
        <v>0</v>
      </c>
      <c r="AH255" s="35">
        <f>ROUND(IF(AQ255="0",BJ255,0),2)</f>
        <v>0</v>
      </c>
      <c r="AI255" s="46" t="s">
        <v>88</v>
      </c>
      <c r="AJ255" s="35">
        <f>IF(AN255=0,I255,0)</f>
        <v>0</v>
      </c>
      <c r="AK255" s="35">
        <f>IF(AN255=12,I255,0)</f>
        <v>0</v>
      </c>
      <c r="AL255" s="35">
        <f>IF(AN255=21,I255,0)</f>
        <v>0</v>
      </c>
      <c r="AN255" s="35">
        <v>21</v>
      </c>
      <c r="AO255" s="35">
        <f>H255*0</f>
        <v>0</v>
      </c>
      <c r="AP255" s="35">
        <f>H255*(1-0)</f>
        <v>0</v>
      </c>
      <c r="AQ255" s="62" t="s">
        <v>145</v>
      </c>
      <c r="AV255" s="35">
        <f>ROUND(AW255+AX255,2)</f>
        <v>0</v>
      </c>
      <c r="AW255" s="35">
        <f>ROUND(G255*AO255,2)</f>
        <v>0</v>
      </c>
      <c r="AX255" s="35">
        <f>ROUND(G255*AP255,2)</f>
        <v>0</v>
      </c>
      <c r="AY255" s="62" t="s">
        <v>522</v>
      </c>
      <c r="AZ255" s="62" t="s">
        <v>599</v>
      </c>
      <c r="BA255" s="46" t="s">
        <v>581</v>
      </c>
      <c r="BC255" s="35">
        <f>AW255+AX255</f>
        <v>0</v>
      </c>
      <c r="BD255" s="35">
        <f>H255/(100-BE255)*100</f>
        <v>0</v>
      </c>
      <c r="BE255" s="35">
        <v>0</v>
      </c>
      <c r="BF255" s="35">
        <f>255</f>
        <v>255</v>
      </c>
      <c r="BH255" s="35">
        <f>G255*AO255</f>
        <v>0</v>
      </c>
      <c r="BI255" s="35">
        <f>G255*AP255</f>
        <v>0</v>
      </c>
      <c r="BJ255" s="35">
        <f>G255*H255</f>
        <v>0</v>
      </c>
      <c r="BK255" s="62" t="s">
        <v>135</v>
      </c>
      <c r="BL255" s="35">
        <v>96</v>
      </c>
      <c r="BW255" s="35">
        <v>21</v>
      </c>
      <c r="BX255" s="3" t="s">
        <v>209</v>
      </c>
    </row>
    <row r="256" spans="1:76">
      <c r="A256" s="68"/>
      <c r="D256" s="69" t="s">
        <v>624</v>
      </c>
      <c r="E256" s="70" t="s">
        <v>4</v>
      </c>
      <c r="G256" s="71">
        <v>46.725000000000001</v>
      </c>
      <c r="K256" s="51"/>
    </row>
    <row r="257" spans="1:76">
      <c r="A257" s="1" t="s">
        <v>625</v>
      </c>
      <c r="B257" s="2" t="s">
        <v>88</v>
      </c>
      <c r="C257" s="2" t="s">
        <v>542</v>
      </c>
      <c r="D257" s="92" t="s">
        <v>543</v>
      </c>
      <c r="E257" s="87"/>
      <c r="F257" s="2" t="s">
        <v>206</v>
      </c>
      <c r="G257" s="35">
        <v>0.13200000000000001</v>
      </c>
      <c r="H257" s="61">
        <v>0</v>
      </c>
      <c r="I257" s="35">
        <f>ROUND(G257*H257,2)</f>
        <v>0</v>
      </c>
      <c r="K257" s="51"/>
      <c r="Z257" s="35">
        <f>ROUND(IF(AQ257="5",BJ257,0),2)</f>
        <v>0</v>
      </c>
      <c r="AB257" s="35">
        <f>ROUND(IF(AQ257="1",BH257,0),2)</f>
        <v>0</v>
      </c>
      <c r="AC257" s="35">
        <f>ROUND(IF(AQ257="1",BI257,0),2)</f>
        <v>0</v>
      </c>
      <c r="AD257" s="35">
        <f>ROUND(IF(AQ257="7",BH257,0),2)</f>
        <v>0</v>
      </c>
      <c r="AE257" s="35">
        <f>ROUND(IF(AQ257="7",BI257,0),2)</f>
        <v>0</v>
      </c>
      <c r="AF257" s="35">
        <f>ROUND(IF(AQ257="2",BH257,0),2)</f>
        <v>0</v>
      </c>
      <c r="AG257" s="35">
        <f>ROUND(IF(AQ257="2",BI257,0),2)</f>
        <v>0</v>
      </c>
      <c r="AH257" s="35">
        <f>ROUND(IF(AQ257="0",BJ257,0),2)</f>
        <v>0</v>
      </c>
      <c r="AI257" s="46" t="s">
        <v>88</v>
      </c>
      <c r="AJ257" s="35">
        <f>IF(AN257=0,I257,0)</f>
        <v>0</v>
      </c>
      <c r="AK257" s="35">
        <f>IF(AN257=12,I257,0)</f>
        <v>0</v>
      </c>
      <c r="AL257" s="35">
        <f>IF(AN257=21,I257,0)</f>
        <v>0</v>
      </c>
      <c r="AN257" s="35">
        <v>21</v>
      </c>
      <c r="AO257" s="35">
        <f>H257*0</f>
        <v>0</v>
      </c>
      <c r="AP257" s="35">
        <f>H257*(1-0)</f>
        <v>0</v>
      </c>
      <c r="AQ257" s="62" t="s">
        <v>145</v>
      </c>
      <c r="AV257" s="35">
        <f>ROUND(AW257+AX257,2)</f>
        <v>0</v>
      </c>
      <c r="AW257" s="35">
        <f>ROUND(G257*AO257,2)</f>
        <v>0</v>
      </c>
      <c r="AX257" s="35">
        <f>ROUND(G257*AP257,2)</f>
        <v>0</v>
      </c>
      <c r="AY257" s="62" t="s">
        <v>522</v>
      </c>
      <c r="AZ257" s="62" t="s">
        <v>599</v>
      </c>
      <c r="BA257" s="46" t="s">
        <v>581</v>
      </c>
      <c r="BC257" s="35">
        <f>AW257+AX257</f>
        <v>0</v>
      </c>
      <c r="BD257" s="35">
        <f>H257/(100-BE257)*100</f>
        <v>0</v>
      </c>
      <c r="BE257" s="35">
        <v>0</v>
      </c>
      <c r="BF257" s="35">
        <f>257</f>
        <v>257</v>
      </c>
      <c r="BH257" s="35">
        <f>G257*AO257</f>
        <v>0</v>
      </c>
      <c r="BI257" s="35">
        <f>G257*AP257</f>
        <v>0</v>
      </c>
      <c r="BJ257" s="35">
        <f>G257*H257</f>
        <v>0</v>
      </c>
      <c r="BK257" s="62" t="s">
        <v>135</v>
      </c>
      <c r="BL257" s="35">
        <v>96</v>
      </c>
      <c r="BW257" s="35">
        <v>21</v>
      </c>
      <c r="BX257" s="3" t="s">
        <v>543</v>
      </c>
    </row>
    <row r="258" spans="1:76">
      <c r="A258" s="68"/>
      <c r="D258" s="69" t="s">
        <v>626</v>
      </c>
      <c r="E258" s="70" t="s">
        <v>4</v>
      </c>
      <c r="G258" s="71">
        <v>0.13200000000000001</v>
      </c>
      <c r="K258" s="51"/>
    </row>
    <row r="259" spans="1:76">
      <c r="A259" s="1" t="s">
        <v>627</v>
      </c>
      <c r="B259" s="2" t="s">
        <v>88</v>
      </c>
      <c r="C259" s="2" t="s">
        <v>546</v>
      </c>
      <c r="D259" s="92" t="s">
        <v>547</v>
      </c>
      <c r="E259" s="87"/>
      <c r="F259" s="2" t="s">
        <v>206</v>
      </c>
      <c r="G259" s="35">
        <v>2.9830000000000001</v>
      </c>
      <c r="H259" s="61">
        <v>0</v>
      </c>
      <c r="I259" s="35">
        <f>ROUND(G259*H259,2)</f>
        <v>0</v>
      </c>
      <c r="K259" s="51"/>
      <c r="Z259" s="35">
        <f>ROUND(IF(AQ259="5",BJ259,0),2)</f>
        <v>0</v>
      </c>
      <c r="AB259" s="35">
        <f>ROUND(IF(AQ259="1",BH259,0),2)</f>
        <v>0</v>
      </c>
      <c r="AC259" s="35">
        <f>ROUND(IF(AQ259="1",BI259,0),2)</f>
        <v>0</v>
      </c>
      <c r="AD259" s="35">
        <f>ROUND(IF(AQ259="7",BH259,0),2)</f>
        <v>0</v>
      </c>
      <c r="AE259" s="35">
        <f>ROUND(IF(AQ259="7",BI259,0),2)</f>
        <v>0</v>
      </c>
      <c r="AF259" s="35">
        <f>ROUND(IF(AQ259="2",BH259,0),2)</f>
        <v>0</v>
      </c>
      <c r="AG259" s="35">
        <f>ROUND(IF(AQ259="2",BI259,0),2)</f>
        <v>0</v>
      </c>
      <c r="AH259" s="35">
        <f>ROUND(IF(AQ259="0",BJ259,0),2)</f>
        <v>0</v>
      </c>
      <c r="AI259" s="46" t="s">
        <v>88</v>
      </c>
      <c r="AJ259" s="35">
        <f>IF(AN259=0,I259,0)</f>
        <v>0</v>
      </c>
      <c r="AK259" s="35">
        <f>IF(AN259=12,I259,0)</f>
        <v>0</v>
      </c>
      <c r="AL259" s="35">
        <f>IF(AN259=21,I259,0)</f>
        <v>0</v>
      </c>
      <c r="AN259" s="35">
        <v>21</v>
      </c>
      <c r="AO259" s="35">
        <f>H259*0</f>
        <v>0</v>
      </c>
      <c r="AP259" s="35">
        <f>H259*(1-0)</f>
        <v>0</v>
      </c>
      <c r="AQ259" s="62" t="s">
        <v>145</v>
      </c>
      <c r="AV259" s="35">
        <f>ROUND(AW259+AX259,2)</f>
        <v>0</v>
      </c>
      <c r="AW259" s="35">
        <f>ROUND(G259*AO259,2)</f>
        <v>0</v>
      </c>
      <c r="AX259" s="35">
        <f>ROUND(G259*AP259,2)</f>
        <v>0</v>
      </c>
      <c r="AY259" s="62" t="s">
        <v>522</v>
      </c>
      <c r="AZ259" s="62" t="s">
        <v>599</v>
      </c>
      <c r="BA259" s="46" t="s">
        <v>581</v>
      </c>
      <c r="BC259" s="35">
        <f>AW259+AX259</f>
        <v>0</v>
      </c>
      <c r="BD259" s="35">
        <f>H259/(100-BE259)*100</f>
        <v>0</v>
      </c>
      <c r="BE259" s="35">
        <v>0</v>
      </c>
      <c r="BF259" s="35">
        <f>259</f>
        <v>259</v>
      </c>
      <c r="BH259" s="35">
        <f>G259*AO259</f>
        <v>0</v>
      </c>
      <c r="BI259" s="35">
        <f>G259*AP259</f>
        <v>0</v>
      </c>
      <c r="BJ259" s="35">
        <f>G259*H259</f>
        <v>0</v>
      </c>
      <c r="BK259" s="62" t="s">
        <v>135</v>
      </c>
      <c r="BL259" s="35">
        <v>96</v>
      </c>
      <c r="BW259" s="35">
        <v>21</v>
      </c>
      <c r="BX259" s="3" t="s">
        <v>547</v>
      </c>
    </row>
    <row r="260" spans="1:76">
      <c r="A260" s="68"/>
      <c r="D260" s="69" t="s">
        <v>628</v>
      </c>
      <c r="E260" s="70" t="s">
        <v>4</v>
      </c>
      <c r="G260" s="71">
        <v>2.9830000000000001</v>
      </c>
      <c r="K260" s="51"/>
    </row>
    <row r="261" spans="1:76">
      <c r="A261" s="57" t="s">
        <v>4</v>
      </c>
      <c r="B261" s="58" t="s">
        <v>88</v>
      </c>
      <c r="C261" s="58" t="s">
        <v>131</v>
      </c>
      <c r="D261" s="174" t="s">
        <v>557</v>
      </c>
      <c r="E261" s="175"/>
      <c r="F261" s="59" t="s">
        <v>79</v>
      </c>
      <c r="G261" s="59" t="s">
        <v>79</v>
      </c>
      <c r="H261" s="60" t="s">
        <v>79</v>
      </c>
      <c r="I261" s="40">
        <f>SUM(I262:I262)</f>
        <v>0</v>
      </c>
      <c r="K261" s="51"/>
      <c r="AI261" s="46" t="s">
        <v>88</v>
      </c>
      <c r="AS261" s="40">
        <f>SUM(AJ262:AJ262)</f>
        <v>0</v>
      </c>
      <c r="AT261" s="40">
        <f>SUM(AK262:AK262)</f>
        <v>0</v>
      </c>
      <c r="AU261" s="40">
        <f>SUM(AL262:AL262)</f>
        <v>0</v>
      </c>
    </row>
    <row r="262" spans="1:76">
      <c r="A262" s="1" t="s">
        <v>629</v>
      </c>
      <c r="B262" s="2" t="s">
        <v>88</v>
      </c>
      <c r="C262" s="2" t="s">
        <v>559</v>
      </c>
      <c r="D262" s="92" t="s">
        <v>560</v>
      </c>
      <c r="E262" s="87"/>
      <c r="F262" s="2" t="s">
        <v>206</v>
      </c>
      <c r="G262" s="35">
        <v>2.819</v>
      </c>
      <c r="H262" s="61">
        <v>0</v>
      </c>
      <c r="I262" s="35">
        <f>ROUND(G262*H262,2)</f>
        <v>0</v>
      </c>
      <c r="K262" s="51"/>
      <c r="Z262" s="35">
        <f>ROUND(IF(AQ262="5",BJ262,0),2)</f>
        <v>0</v>
      </c>
      <c r="AB262" s="35">
        <f>ROUND(IF(AQ262="1",BH262,0),2)</f>
        <v>0</v>
      </c>
      <c r="AC262" s="35">
        <f>ROUND(IF(AQ262="1",BI262,0),2)</f>
        <v>0</v>
      </c>
      <c r="AD262" s="35">
        <f>ROUND(IF(AQ262="7",BH262,0),2)</f>
        <v>0</v>
      </c>
      <c r="AE262" s="35">
        <f>ROUND(IF(AQ262="7",BI262,0),2)</f>
        <v>0</v>
      </c>
      <c r="AF262" s="35">
        <f>ROUND(IF(AQ262="2",BH262,0),2)</f>
        <v>0</v>
      </c>
      <c r="AG262" s="35">
        <f>ROUND(IF(AQ262="2",BI262,0),2)</f>
        <v>0</v>
      </c>
      <c r="AH262" s="35">
        <f>ROUND(IF(AQ262="0",BJ262,0),2)</f>
        <v>0</v>
      </c>
      <c r="AI262" s="46" t="s">
        <v>88</v>
      </c>
      <c r="AJ262" s="35">
        <f>IF(AN262=0,I262,0)</f>
        <v>0</v>
      </c>
      <c r="AK262" s="35">
        <f>IF(AN262=12,I262,0)</f>
        <v>0</v>
      </c>
      <c r="AL262" s="35">
        <f>IF(AN262=21,I262,0)</f>
        <v>0</v>
      </c>
      <c r="AN262" s="35">
        <v>21</v>
      </c>
      <c r="AO262" s="35">
        <f>H262*0</f>
        <v>0</v>
      </c>
      <c r="AP262" s="35">
        <f>H262*(1-0)</f>
        <v>0</v>
      </c>
      <c r="AQ262" s="62" t="s">
        <v>145</v>
      </c>
      <c r="AV262" s="35">
        <f>ROUND(AW262+AX262,2)</f>
        <v>0</v>
      </c>
      <c r="AW262" s="35">
        <f>ROUND(G262*AO262,2)</f>
        <v>0</v>
      </c>
      <c r="AX262" s="35">
        <f>ROUND(G262*AP262,2)</f>
        <v>0</v>
      </c>
      <c r="AY262" s="62" t="s">
        <v>561</v>
      </c>
      <c r="AZ262" s="62" t="s">
        <v>599</v>
      </c>
      <c r="BA262" s="46" t="s">
        <v>581</v>
      </c>
      <c r="BC262" s="35">
        <f>AW262+AX262</f>
        <v>0</v>
      </c>
      <c r="BD262" s="35">
        <f>H262/(100-BE262)*100</f>
        <v>0</v>
      </c>
      <c r="BE262" s="35">
        <v>0</v>
      </c>
      <c r="BF262" s="35">
        <f>262</f>
        <v>262</v>
      </c>
      <c r="BH262" s="35">
        <f>G262*AO262</f>
        <v>0</v>
      </c>
      <c r="BI262" s="35">
        <f>G262*AP262</f>
        <v>0</v>
      </c>
      <c r="BJ262" s="35">
        <f>G262*H262</f>
        <v>0</v>
      </c>
      <c r="BK262" s="62" t="s">
        <v>135</v>
      </c>
      <c r="BL262" s="35">
        <v>99</v>
      </c>
      <c r="BW262" s="35">
        <v>21</v>
      </c>
      <c r="BX262" s="3" t="s">
        <v>560</v>
      </c>
    </row>
    <row r="263" spans="1:76">
      <c r="A263" s="63" t="s">
        <v>4</v>
      </c>
      <c r="B263" s="64" t="s">
        <v>90</v>
      </c>
      <c r="C263" s="64" t="s">
        <v>4</v>
      </c>
      <c r="D263" s="176" t="s">
        <v>91</v>
      </c>
      <c r="E263" s="177"/>
      <c r="F263" s="65" t="s">
        <v>79</v>
      </c>
      <c r="G263" s="65" t="s">
        <v>79</v>
      </c>
      <c r="H263" s="66" t="s">
        <v>79</v>
      </c>
      <c r="I263" s="67">
        <f>I264+I280+I284+I300+I311+I324+I329+I331+I340</f>
        <v>0</v>
      </c>
      <c r="K263" s="51"/>
    </row>
    <row r="264" spans="1:76">
      <c r="A264" s="57" t="s">
        <v>4</v>
      </c>
      <c r="B264" s="58" t="s">
        <v>90</v>
      </c>
      <c r="C264" s="58" t="s">
        <v>166</v>
      </c>
      <c r="D264" s="174" t="s">
        <v>630</v>
      </c>
      <c r="E264" s="175"/>
      <c r="F264" s="59" t="s">
        <v>79</v>
      </c>
      <c r="G264" s="59" t="s">
        <v>79</v>
      </c>
      <c r="H264" s="60" t="s">
        <v>79</v>
      </c>
      <c r="I264" s="40">
        <f>SUM(I265:I279)</f>
        <v>0</v>
      </c>
      <c r="K264" s="51"/>
      <c r="AI264" s="46" t="s">
        <v>90</v>
      </c>
      <c r="AS264" s="40">
        <f>SUM(AJ265:AJ279)</f>
        <v>0</v>
      </c>
      <c r="AT264" s="40">
        <f>SUM(AK265:AK279)</f>
        <v>0</v>
      </c>
      <c r="AU264" s="40">
        <f>SUM(AL265:AL279)</f>
        <v>0</v>
      </c>
    </row>
    <row r="265" spans="1:76">
      <c r="A265" s="1" t="s">
        <v>631</v>
      </c>
      <c r="B265" s="2" t="s">
        <v>90</v>
      </c>
      <c r="C265" s="2" t="s">
        <v>232</v>
      </c>
      <c r="D265" s="92" t="s">
        <v>233</v>
      </c>
      <c r="E265" s="87"/>
      <c r="F265" s="2" t="s">
        <v>223</v>
      </c>
      <c r="G265" s="35">
        <v>0.97199999999999998</v>
      </c>
      <c r="H265" s="61">
        <v>0</v>
      </c>
      <c r="I265" s="35">
        <f>ROUND(G265*H265,2)</f>
        <v>0</v>
      </c>
      <c r="K265" s="51"/>
      <c r="Z265" s="35">
        <f>ROUND(IF(AQ265="5",BJ265,0),2)</f>
        <v>0</v>
      </c>
      <c r="AB265" s="35">
        <f>ROUND(IF(AQ265="1",BH265,0),2)</f>
        <v>0</v>
      </c>
      <c r="AC265" s="35">
        <f>ROUND(IF(AQ265="1",BI265,0),2)</f>
        <v>0</v>
      </c>
      <c r="AD265" s="35">
        <f>ROUND(IF(AQ265="7",BH265,0),2)</f>
        <v>0</v>
      </c>
      <c r="AE265" s="35">
        <f>ROUND(IF(AQ265="7",BI265,0),2)</f>
        <v>0</v>
      </c>
      <c r="AF265" s="35">
        <f>ROUND(IF(AQ265="2",BH265,0),2)</f>
        <v>0</v>
      </c>
      <c r="AG265" s="35">
        <f>ROUND(IF(AQ265="2",BI265,0),2)</f>
        <v>0</v>
      </c>
      <c r="AH265" s="35">
        <f>ROUND(IF(AQ265="0",BJ265,0),2)</f>
        <v>0</v>
      </c>
      <c r="AI265" s="46" t="s">
        <v>90</v>
      </c>
      <c r="AJ265" s="35">
        <f>IF(AN265=0,I265,0)</f>
        <v>0</v>
      </c>
      <c r="AK265" s="35">
        <f>IF(AN265=12,I265,0)</f>
        <v>0</v>
      </c>
      <c r="AL265" s="35">
        <f>IF(AN265=21,I265,0)</f>
        <v>0</v>
      </c>
      <c r="AN265" s="35">
        <v>21</v>
      </c>
      <c r="AO265" s="35">
        <f>H265*0</f>
        <v>0</v>
      </c>
      <c r="AP265" s="35">
        <f>H265*(1-0)</f>
        <v>0</v>
      </c>
      <c r="AQ265" s="62" t="s">
        <v>127</v>
      </c>
      <c r="AV265" s="35">
        <f>ROUND(AW265+AX265,2)</f>
        <v>0</v>
      </c>
      <c r="AW265" s="35">
        <f>ROUND(G265*AO265,2)</f>
        <v>0</v>
      </c>
      <c r="AX265" s="35">
        <f>ROUND(G265*AP265,2)</f>
        <v>0</v>
      </c>
      <c r="AY265" s="62" t="s">
        <v>632</v>
      </c>
      <c r="AZ265" s="62" t="s">
        <v>633</v>
      </c>
      <c r="BA265" s="46" t="s">
        <v>634</v>
      </c>
      <c r="BC265" s="35">
        <f>AW265+AX265</f>
        <v>0</v>
      </c>
      <c r="BD265" s="35">
        <f>H265/(100-BE265)*100</f>
        <v>0</v>
      </c>
      <c r="BE265" s="35">
        <v>0</v>
      </c>
      <c r="BF265" s="35">
        <f>265</f>
        <v>265</v>
      </c>
      <c r="BH265" s="35">
        <f>G265*AO265</f>
        <v>0</v>
      </c>
      <c r="BI265" s="35">
        <f>G265*AP265</f>
        <v>0</v>
      </c>
      <c r="BJ265" s="35">
        <f>G265*H265</f>
        <v>0</v>
      </c>
      <c r="BK265" s="62" t="s">
        <v>135</v>
      </c>
      <c r="BL265" s="35">
        <v>13</v>
      </c>
      <c r="BW265" s="35">
        <v>21</v>
      </c>
      <c r="BX265" s="3" t="s">
        <v>233</v>
      </c>
    </row>
    <row r="266" spans="1:76">
      <c r="A266" s="68"/>
      <c r="D266" s="69" t="s">
        <v>635</v>
      </c>
      <c r="E266" s="70" t="s">
        <v>636</v>
      </c>
      <c r="G266" s="71">
        <v>0.97199999999999998</v>
      </c>
      <c r="K266" s="51"/>
    </row>
    <row r="267" spans="1:76">
      <c r="A267" s="1" t="s">
        <v>637</v>
      </c>
      <c r="B267" s="2" t="s">
        <v>90</v>
      </c>
      <c r="C267" s="2" t="s">
        <v>638</v>
      </c>
      <c r="D267" s="92" t="s">
        <v>639</v>
      </c>
      <c r="E267" s="87"/>
      <c r="F267" s="2" t="s">
        <v>223</v>
      </c>
      <c r="G267" s="35">
        <v>140.54</v>
      </c>
      <c r="H267" s="61">
        <v>0</v>
      </c>
      <c r="I267" s="35">
        <f>ROUND(G267*H267,2)</f>
        <v>0</v>
      </c>
      <c r="K267" s="51"/>
      <c r="Z267" s="35">
        <f>ROUND(IF(AQ267="5",BJ267,0),2)</f>
        <v>0</v>
      </c>
      <c r="AB267" s="35">
        <f>ROUND(IF(AQ267="1",BH267,0),2)</f>
        <v>0</v>
      </c>
      <c r="AC267" s="35">
        <f>ROUND(IF(AQ267="1",BI267,0),2)</f>
        <v>0</v>
      </c>
      <c r="AD267" s="35">
        <f>ROUND(IF(AQ267="7",BH267,0),2)</f>
        <v>0</v>
      </c>
      <c r="AE267" s="35">
        <f>ROUND(IF(AQ267="7",BI267,0),2)</f>
        <v>0</v>
      </c>
      <c r="AF267" s="35">
        <f>ROUND(IF(AQ267="2",BH267,0),2)</f>
        <v>0</v>
      </c>
      <c r="AG267" s="35">
        <f>ROUND(IF(AQ267="2",BI267,0),2)</f>
        <v>0</v>
      </c>
      <c r="AH267" s="35">
        <f>ROUND(IF(AQ267="0",BJ267,0),2)</f>
        <v>0</v>
      </c>
      <c r="AI267" s="46" t="s">
        <v>90</v>
      </c>
      <c r="AJ267" s="35">
        <f>IF(AN267=0,I267,0)</f>
        <v>0</v>
      </c>
      <c r="AK267" s="35">
        <f>IF(AN267=12,I267,0)</f>
        <v>0</v>
      </c>
      <c r="AL267" s="35">
        <f>IF(AN267=21,I267,0)</f>
        <v>0</v>
      </c>
      <c r="AN267" s="35">
        <v>21</v>
      </c>
      <c r="AO267" s="35">
        <f>H267*0</f>
        <v>0</v>
      </c>
      <c r="AP267" s="35">
        <f>H267*(1-0)</f>
        <v>0</v>
      </c>
      <c r="AQ267" s="62" t="s">
        <v>127</v>
      </c>
      <c r="AV267" s="35">
        <f>ROUND(AW267+AX267,2)</f>
        <v>0</v>
      </c>
      <c r="AW267" s="35">
        <f>ROUND(G267*AO267,2)</f>
        <v>0</v>
      </c>
      <c r="AX267" s="35">
        <f>ROUND(G267*AP267,2)</f>
        <v>0</v>
      </c>
      <c r="AY267" s="62" t="s">
        <v>632</v>
      </c>
      <c r="AZ267" s="62" t="s">
        <v>633</v>
      </c>
      <c r="BA267" s="46" t="s">
        <v>634</v>
      </c>
      <c r="BC267" s="35">
        <f>AW267+AX267</f>
        <v>0</v>
      </c>
      <c r="BD267" s="35">
        <f>H267/(100-BE267)*100</f>
        <v>0</v>
      </c>
      <c r="BE267" s="35">
        <v>0</v>
      </c>
      <c r="BF267" s="35">
        <f>267</f>
        <v>267</v>
      </c>
      <c r="BH267" s="35">
        <f>G267*AO267</f>
        <v>0</v>
      </c>
      <c r="BI267" s="35">
        <f>G267*AP267</f>
        <v>0</v>
      </c>
      <c r="BJ267" s="35">
        <f>G267*H267</f>
        <v>0</v>
      </c>
      <c r="BK267" s="62" t="s">
        <v>135</v>
      </c>
      <c r="BL267" s="35">
        <v>13</v>
      </c>
      <c r="BW267" s="35">
        <v>21</v>
      </c>
      <c r="BX267" s="3" t="s">
        <v>639</v>
      </c>
    </row>
    <row r="268" spans="1:76">
      <c r="A268" s="68"/>
      <c r="D268" s="69" t="s">
        <v>640</v>
      </c>
      <c r="E268" s="70" t="s">
        <v>4</v>
      </c>
      <c r="G268" s="71">
        <v>140.54</v>
      </c>
      <c r="K268" s="51"/>
    </row>
    <row r="269" spans="1:76">
      <c r="A269" s="1" t="s">
        <v>641</v>
      </c>
      <c r="B269" s="2" t="s">
        <v>90</v>
      </c>
      <c r="C269" s="2" t="s">
        <v>642</v>
      </c>
      <c r="D269" s="92" t="s">
        <v>643</v>
      </c>
      <c r="E269" s="87"/>
      <c r="F269" s="2" t="s">
        <v>192</v>
      </c>
      <c r="G269" s="35">
        <v>240.24</v>
      </c>
      <c r="H269" s="61">
        <v>0</v>
      </c>
      <c r="I269" s="35">
        <f>ROUND(G269*H269,2)</f>
        <v>0</v>
      </c>
      <c r="K269" s="51"/>
      <c r="Z269" s="35">
        <f>ROUND(IF(AQ269="5",BJ269,0),2)</f>
        <v>0</v>
      </c>
      <c r="AB269" s="35">
        <f>ROUND(IF(AQ269="1",BH269,0),2)</f>
        <v>0</v>
      </c>
      <c r="AC269" s="35">
        <f>ROUND(IF(AQ269="1",BI269,0),2)</f>
        <v>0</v>
      </c>
      <c r="AD269" s="35">
        <f>ROUND(IF(AQ269="7",BH269,0),2)</f>
        <v>0</v>
      </c>
      <c r="AE269" s="35">
        <f>ROUND(IF(AQ269="7",BI269,0),2)</f>
        <v>0</v>
      </c>
      <c r="AF269" s="35">
        <f>ROUND(IF(AQ269="2",BH269,0),2)</f>
        <v>0</v>
      </c>
      <c r="AG269" s="35">
        <f>ROUND(IF(AQ269="2",BI269,0),2)</f>
        <v>0</v>
      </c>
      <c r="AH269" s="35">
        <f>ROUND(IF(AQ269="0",BJ269,0),2)</f>
        <v>0</v>
      </c>
      <c r="AI269" s="46" t="s">
        <v>90</v>
      </c>
      <c r="AJ269" s="35">
        <f>IF(AN269=0,I269,0)</f>
        <v>0</v>
      </c>
      <c r="AK269" s="35">
        <f>IF(AN269=12,I269,0)</f>
        <v>0</v>
      </c>
      <c r="AL269" s="35">
        <f>IF(AN269=21,I269,0)</f>
        <v>0</v>
      </c>
      <c r="AN269" s="35">
        <v>21</v>
      </c>
      <c r="AO269" s="35">
        <f>H269*0.09129043</f>
        <v>0</v>
      </c>
      <c r="AP269" s="35">
        <f>H269*(1-0.09129043)</f>
        <v>0</v>
      </c>
      <c r="AQ269" s="62" t="s">
        <v>127</v>
      </c>
      <c r="AV269" s="35">
        <f>ROUND(AW269+AX269,2)</f>
        <v>0</v>
      </c>
      <c r="AW269" s="35">
        <f>ROUND(G269*AO269,2)</f>
        <v>0</v>
      </c>
      <c r="AX269" s="35">
        <f>ROUND(G269*AP269,2)</f>
        <v>0</v>
      </c>
      <c r="AY269" s="62" t="s">
        <v>632</v>
      </c>
      <c r="AZ269" s="62" t="s">
        <v>633</v>
      </c>
      <c r="BA269" s="46" t="s">
        <v>634</v>
      </c>
      <c r="BC269" s="35">
        <f>AW269+AX269</f>
        <v>0</v>
      </c>
      <c r="BD269" s="35">
        <f>H269/(100-BE269)*100</f>
        <v>0</v>
      </c>
      <c r="BE269" s="35">
        <v>0</v>
      </c>
      <c r="BF269" s="35">
        <f>269</f>
        <v>269</v>
      </c>
      <c r="BH269" s="35">
        <f>G269*AO269</f>
        <v>0</v>
      </c>
      <c r="BI269" s="35">
        <f>G269*AP269</f>
        <v>0</v>
      </c>
      <c r="BJ269" s="35">
        <f>G269*H269</f>
        <v>0</v>
      </c>
      <c r="BK269" s="62" t="s">
        <v>135</v>
      </c>
      <c r="BL269" s="35">
        <v>13</v>
      </c>
      <c r="BW269" s="35">
        <v>21</v>
      </c>
      <c r="BX269" s="3" t="s">
        <v>643</v>
      </c>
    </row>
    <row r="270" spans="1:76">
      <c r="A270" s="68"/>
      <c r="D270" s="69" t="s">
        <v>644</v>
      </c>
      <c r="E270" s="70" t="s">
        <v>4</v>
      </c>
      <c r="G270" s="71">
        <v>240.24</v>
      </c>
      <c r="K270" s="51"/>
    </row>
    <row r="271" spans="1:76">
      <c r="A271" s="1" t="s">
        <v>645</v>
      </c>
      <c r="B271" s="2" t="s">
        <v>90</v>
      </c>
      <c r="C271" s="2" t="s">
        <v>646</v>
      </c>
      <c r="D271" s="92" t="s">
        <v>647</v>
      </c>
      <c r="E271" s="87"/>
      <c r="F271" s="2" t="s">
        <v>192</v>
      </c>
      <c r="G271" s="35">
        <v>240.24</v>
      </c>
      <c r="H271" s="61">
        <v>0</v>
      </c>
      <c r="I271" s="35">
        <f>ROUND(G271*H271,2)</f>
        <v>0</v>
      </c>
      <c r="K271" s="51"/>
      <c r="Z271" s="35">
        <f>ROUND(IF(AQ271="5",BJ271,0),2)</f>
        <v>0</v>
      </c>
      <c r="AB271" s="35">
        <f>ROUND(IF(AQ271="1",BH271,0),2)</f>
        <v>0</v>
      </c>
      <c r="AC271" s="35">
        <f>ROUND(IF(AQ271="1",BI271,0),2)</f>
        <v>0</v>
      </c>
      <c r="AD271" s="35">
        <f>ROUND(IF(AQ271="7",BH271,0),2)</f>
        <v>0</v>
      </c>
      <c r="AE271" s="35">
        <f>ROUND(IF(AQ271="7",BI271,0),2)</f>
        <v>0</v>
      </c>
      <c r="AF271" s="35">
        <f>ROUND(IF(AQ271="2",BH271,0),2)</f>
        <v>0</v>
      </c>
      <c r="AG271" s="35">
        <f>ROUND(IF(AQ271="2",BI271,0),2)</f>
        <v>0</v>
      </c>
      <c r="AH271" s="35">
        <f>ROUND(IF(AQ271="0",BJ271,0),2)</f>
        <v>0</v>
      </c>
      <c r="AI271" s="46" t="s">
        <v>90</v>
      </c>
      <c r="AJ271" s="35">
        <f>IF(AN271=0,I271,0)</f>
        <v>0</v>
      </c>
      <c r="AK271" s="35">
        <f>IF(AN271=12,I271,0)</f>
        <v>0</v>
      </c>
      <c r="AL271" s="35">
        <f>IF(AN271=21,I271,0)</f>
        <v>0</v>
      </c>
      <c r="AN271" s="35">
        <v>21</v>
      </c>
      <c r="AO271" s="35">
        <f>H271*0</f>
        <v>0</v>
      </c>
      <c r="AP271" s="35">
        <f>H271*(1-0)</f>
        <v>0</v>
      </c>
      <c r="AQ271" s="62" t="s">
        <v>127</v>
      </c>
      <c r="AV271" s="35">
        <f>ROUND(AW271+AX271,2)</f>
        <v>0</v>
      </c>
      <c r="AW271" s="35">
        <f>ROUND(G271*AO271,2)</f>
        <v>0</v>
      </c>
      <c r="AX271" s="35">
        <f>ROUND(G271*AP271,2)</f>
        <v>0</v>
      </c>
      <c r="AY271" s="62" t="s">
        <v>632</v>
      </c>
      <c r="AZ271" s="62" t="s">
        <v>633</v>
      </c>
      <c r="BA271" s="46" t="s">
        <v>634</v>
      </c>
      <c r="BC271" s="35">
        <f>AW271+AX271</f>
        <v>0</v>
      </c>
      <c r="BD271" s="35">
        <f>H271/(100-BE271)*100</f>
        <v>0</v>
      </c>
      <c r="BE271" s="35">
        <v>0</v>
      </c>
      <c r="BF271" s="35">
        <f>271</f>
        <v>271</v>
      </c>
      <c r="BH271" s="35">
        <f>G271*AO271</f>
        <v>0</v>
      </c>
      <c r="BI271" s="35">
        <f>G271*AP271</f>
        <v>0</v>
      </c>
      <c r="BJ271" s="35">
        <f>G271*H271</f>
        <v>0</v>
      </c>
      <c r="BK271" s="62" t="s">
        <v>135</v>
      </c>
      <c r="BL271" s="35">
        <v>13</v>
      </c>
      <c r="BW271" s="35">
        <v>21</v>
      </c>
      <c r="BX271" s="3" t="s">
        <v>647</v>
      </c>
    </row>
    <row r="272" spans="1:76">
      <c r="A272" s="1" t="s">
        <v>648</v>
      </c>
      <c r="B272" s="2" t="s">
        <v>90</v>
      </c>
      <c r="C272" s="2" t="s">
        <v>649</v>
      </c>
      <c r="D272" s="92" t="s">
        <v>650</v>
      </c>
      <c r="E272" s="87"/>
      <c r="F272" s="2" t="s">
        <v>223</v>
      </c>
      <c r="G272" s="35">
        <v>0.48599999999999999</v>
      </c>
      <c r="H272" s="61">
        <v>0</v>
      </c>
      <c r="I272" s="35">
        <f>ROUND(G272*H272,2)</f>
        <v>0</v>
      </c>
      <c r="K272" s="51"/>
      <c r="Z272" s="35">
        <f>ROUND(IF(AQ272="5",BJ272,0),2)</f>
        <v>0</v>
      </c>
      <c r="AB272" s="35">
        <f>ROUND(IF(AQ272="1",BH272,0),2)</f>
        <v>0</v>
      </c>
      <c r="AC272" s="35">
        <f>ROUND(IF(AQ272="1",BI272,0),2)</f>
        <v>0</v>
      </c>
      <c r="AD272" s="35">
        <f>ROUND(IF(AQ272="7",BH272,0),2)</f>
        <v>0</v>
      </c>
      <c r="AE272" s="35">
        <f>ROUND(IF(AQ272="7",BI272,0),2)</f>
        <v>0</v>
      </c>
      <c r="AF272" s="35">
        <f>ROUND(IF(AQ272="2",BH272,0),2)</f>
        <v>0</v>
      </c>
      <c r="AG272" s="35">
        <f>ROUND(IF(AQ272="2",BI272,0),2)</f>
        <v>0</v>
      </c>
      <c r="AH272" s="35">
        <f>ROUND(IF(AQ272="0",BJ272,0),2)</f>
        <v>0</v>
      </c>
      <c r="AI272" s="46" t="s">
        <v>90</v>
      </c>
      <c r="AJ272" s="35">
        <f>IF(AN272=0,I272,0)</f>
        <v>0</v>
      </c>
      <c r="AK272" s="35">
        <f>IF(AN272=12,I272,0)</f>
        <v>0</v>
      </c>
      <c r="AL272" s="35">
        <f>IF(AN272=21,I272,0)</f>
        <v>0</v>
      </c>
      <c r="AN272" s="35">
        <v>21</v>
      </c>
      <c r="AO272" s="35">
        <f>H272*0</f>
        <v>0</v>
      </c>
      <c r="AP272" s="35">
        <f>H272*(1-0)</f>
        <v>0</v>
      </c>
      <c r="AQ272" s="62" t="s">
        <v>127</v>
      </c>
      <c r="AV272" s="35">
        <f>ROUND(AW272+AX272,2)</f>
        <v>0</v>
      </c>
      <c r="AW272" s="35">
        <f>ROUND(G272*AO272,2)</f>
        <v>0</v>
      </c>
      <c r="AX272" s="35">
        <f>ROUND(G272*AP272,2)</f>
        <v>0</v>
      </c>
      <c r="AY272" s="62" t="s">
        <v>632</v>
      </c>
      <c r="AZ272" s="62" t="s">
        <v>633</v>
      </c>
      <c r="BA272" s="46" t="s">
        <v>634</v>
      </c>
      <c r="BC272" s="35">
        <f>AW272+AX272</f>
        <v>0</v>
      </c>
      <c r="BD272" s="35">
        <f>H272/(100-BE272)*100</f>
        <v>0</v>
      </c>
      <c r="BE272" s="35">
        <v>0</v>
      </c>
      <c r="BF272" s="35">
        <f>272</f>
        <v>272</v>
      </c>
      <c r="BH272" s="35">
        <f>G272*AO272</f>
        <v>0</v>
      </c>
      <c r="BI272" s="35">
        <f>G272*AP272</f>
        <v>0</v>
      </c>
      <c r="BJ272" s="35">
        <f>G272*H272</f>
        <v>0</v>
      </c>
      <c r="BK272" s="62" t="s">
        <v>135</v>
      </c>
      <c r="BL272" s="35">
        <v>13</v>
      </c>
      <c r="BW272" s="35">
        <v>21</v>
      </c>
      <c r="BX272" s="3" t="s">
        <v>650</v>
      </c>
    </row>
    <row r="273" spans="1:76">
      <c r="A273" s="68"/>
      <c r="D273" s="69" t="s">
        <v>651</v>
      </c>
      <c r="E273" s="70" t="s">
        <v>652</v>
      </c>
      <c r="G273" s="71">
        <v>0.48599999999999999</v>
      </c>
      <c r="K273" s="51"/>
    </row>
    <row r="274" spans="1:76">
      <c r="A274" s="1" t="s">
        <v>653</v>
      </c>
      <c r="B274" s="2" t="s">
        <v>90</v>
      </c>
      <c r="C274" s="2" t="s">
        <v>654</v>
      </c>
      <c r="D274" s="92" t="s">
        <v>655</v>
      </c>
      <c r="E274" s="87"/>
      <c r="F274" s="2" t="s">
        <v>223</v>
      </c>
      <c r="G274" s="35">
        <v>51.5</v>
      </c>
      <c r="H274" s="61">
        <v>0</v>
      </c>
      <c r="I274" s="35">
        <f>ROUND(G274*H274,2)</f>
        <v>0</v>
      </c>
      <c r="K274" s="51"/>
      <c r="Z274" s="35">
        <f>ROUND(IF(AQ274="5",BJ274,0),2)</f>
        <v>0</v>
      </c>
      <c r="AB274" s="35">
        <f>ROUND(IF(AQ274="1",BH274,0),2)</f>
        <v>0</v>
      </c>
      <c r="AC274" s="35">
        <f>ROUND(IF(AQ274="1",BI274,0),2)</f>
        <v>0</v>
      </c>
      <c r="AD274" s="35">
        <f>ROUND(IF(AQ274="7",BH274,0),2)</f>
        <v>0</v>
      </c>
      <c r="AE274" s="35">
        <f>ROUND(IF(AQ274="7",BI274,0),2)</f>
        <v>0</v>
      </c>
      <c r="AF274" s="35">
        <f>ROUND(IF(AQ274="2",BH274,0),2)</f>
        <v>0</v>
      </c>
      <c r="AG274" s="35">
        <f>ROUND(IF(AQ274="2",BI274,0),2)</f>
        <v>0</v>
      </c>
      <c r="AH274" s="35">
        <f>ROUND(IF(AQ274="0",BJ274,0),2)</f>
        <v>0</v>
      </c>
      <c r="AI274" s="46" t="s">
        <v>90</v>
      </c>
      <c r="AJ274" s="35">
        <f>IF(AN274=0,I274,0)</f>
        <v>0</v>
      </c>
      <c r="AK274" s="35">
        <f>IF(AN274=12,I274,0)</f>
        <v>0</v>
      </c>
      <c r="AL274" s="35">
        <f>IF(AN274=21,I274,0)</f>
        <v>0</v>
      </c>
      <c r="AN274" s="35">
        <v>21</v>
      </c>
      <c r="AO274" s="35">
        <f>H274*0</f>
        <v>0</v>
      </c>
      <c r="AP274" s="35">
        <f>H274*(1-0)</f>
        <v>0</v>
      </c>
      <c r="AQ274" s="62" t="s">
        <v>127</v>
      </c>
      <c r="AV274" s="35">
        <f>ROUND(AW274+AX274,2)</f>
        <v>0</v>
      </c>
      <c r="AW274" s="35">
        <f>ROUND(G274*AO274,2)</f>
        <v>0</v>
      </c>
      <c r="AX274" s="35">
        <f>ROUND(G274*AP274,2)</f>
        <v>0</v>
      </c>
      <c r="AY274" s="62" t="s">
        <v>632</v>
      </c>
      <c r="AZ274" s="62" t="s">
        <v>633</v>
      </c>
      <c r="BA274" s="46" t="s">
        <v>634</v>
      </c>
      <c r="BC274" s="35">
        <f>AW274+AX274</f>
        <v>0</v>
      </c>
      <c r="BD274" s="35">
        <f>H274/(100-BE274)*100</f>
        <v>0</v>
      </c>
      <c r="BE274" s="35">
        <v>0</v>
      </c>
      <c r="BF274" s="35">
        <f>274</f>
        <v>274</v>
      </c>
      <c r="BH274" s="35">
        <f>G274*AO274</f>
        <v>0</v>
      </c>
      <c r="BI274" s="35">
        <f>G274*AP274</f>
        <v>0</v>
      </c>
      <c r="BJ274" s="35">
        <f>G274*H274</f>
        <v>0</v>
      </c>
      <c r="BK274" s="62" t="s">
        <v>135</v>
      </c>
      <c r="BL274" s="35">
        <v>13</v>
      </c>
      <c r="BW274" s="35">
        <v>21</v>
      </c>
      <c r="BX274" s="3" t="s">
        <v>655</v>
      </c>
    </row>
    <row r="275" spans="1:76">
      <c r="A275" s="68"/>
      <c r="D275" s="69" t="s">
        <v>656</v>
      </c>
      <c r="E275" s="70" t="s">
        <v>657</v>
      </c>
      <c r="G275" s="71">
        <v>38.5</v>
      </c>
      <c r="K275" s="51"/>
    </row>
    <row r="276" spans="1:76">
      <c r="A276" s="68"/>
      <c r="D276" s="69" t="s">
        <v>166</v>
      </c>
      <c r="E276" s="70" t="s">
        <v>658</v>
      </c>
      <c r="G276" s="71">
        <v>13</v>
      </c>
      <c r="K276" s="51"/>
    </row>
    <row r="277" spans="1:76">
      <c r="A277" s="1" t="s">
        <v>199</v>
      </c>
      <c r="B277" s="2" t="s">
        <v>90</v>
      </c>
      <c r="C277" s="2" t="s">
        <v>242</v>
      </c>
      <c r="D277" s="92" t="s">
        <v>243</v>
      </c>
      <c r="E277" s="87"/>
      <c r="F277" s="2" t="s">
        <v>223</v>
      </c>
      <c r="G277" s="35">
        <v>89.525999999999996</v>
      </c>
      <c r="H277" s="61">
        <v>0</v>
      </c>
      <c r="I277" s="35">
        <f>ROUND(G277*H277,2)</f>
        <v>0</v>
      </c>
      <c r="K277" s="51"/>
      <c r="Z277" s="35">
        <f>ROUND(IF(AQ277="5",BJ277,0),2)</f>
        <v>0</v>
      </c>
      <c r="AB277" s="35">
        <f>ROUND(IF(AQ277="1",BH277,0),2)</f>
        <v>0</v>
      </c>
      <c r="AC277" s="35">
        <f>ROUND(IF(AQ277="1",BI277,0),2)</f>
        <v>0</v>
      </c>
      <c r="AD277" s="35">
        <f>ROUND(IF(AQ277="7",BH277,0),2)</f>
        <v>0</v>
      </c>
      <c r="AE277" s="35">
        <f>ROUND(IF(AQ277="7",BI277,0),2)</f>
        <v>0</v>
      </c>
      <c r="AF277" s="35">
        <f>ROUND(IF(AQ277="2",BH277,0),2)</f>
        <v>0</v>
      </c>
      <c r="AG277" s="35">
        <f>ROUND(IF(AQ277="2",BI277,0),2)</f>
        <v>0</v>
      </c>
      <c r="AH277" s="35">
        <f>ROUND(IF(AQ277="0",BJ277,0),2)</f>
        <v>0</v>
      </c>
      <c r="AI277" s="46" t="s">
        <v>90</v>
      </c>
      <c r="AJ277" s="35">
        <f>IF(AN277=0,I277,0)</f>
        <v>0</v>
      </c>
      <c r="AK277" s="35">
        <f>IF(AN277=12,I277,0)</f>
        <v>0</v>
      </c>
      <c r="AL277" s="35">
        <f>IF(AN277=21,I277,0)</f>
        <v>0</v>
      </c>
      <c r="AN277" s="35">
        <v>21</v>
      </c>
      <c r="AO277" s="35">
        <f>H277*0</f>
        <v>0</v>
      </c>
      <c r="AP277" s="35">
        <f>H277*(1-0)</f>
        <v>0</v>
      </c>
      <c r="AQ277" s="62" t="s">
        <v>127</v>
      </c>
      <c r="AV277" s="35">
        <f>ROUND(AW277+AX277,2)</f>
        <v>0</v>
      </c>
      <c r="AW277" s="35">
        <f>ROUND(G277*AO277,2)</f>
        <v>0</v>
      </c>
      <c r="AX277" s="35">
        <f>ROUND(G277*AP277,2)</f>
        <v>0</v>
      </c>
      <c r="AY277" s="62" t="s">
        <v>632</v>
      </c>
      <c r="AZ277" s="62" t="s">
        <v>633</v>
      </c>
      <c r="BA277" s="46" t="s">
        <v>634</v>
      </c>
      <c r="BC277" s="35">
        <f>AW277+AX277</f>
        <v>0</v>
      </c>
      <c r="BD277" s="35">
        <f>H277/(100-BE277)*100</f>
        <v>0</v>
      </c>
      <c r="BE277" s="35">
        <v>0</v>
      </c>
      <c r="BF277" s="35">
        <f>277</f>
        <v>277</v>
      </c>
      <c r="BH277" s="35">
        <f>G277*AO277</f>
        <v>0</v>
      </c>
      <c r="BI277" s="35">
        <f>G277*AP277</f>
        <v>0</v>
      </c>
      <c r="BJ277" s="35">
        <f>G277*H277</f>
        <v>0</v>
      </c>
      <c r="BK277" s="62" t="s">
        <v>135</v>
      </c>
      <c r="BL277" s="35">
        <v>13</v>
      </c>
      <c r="BW277" s="35">
        <v>21</v>
      </c>
      <c r="BX277" s="3" t="s">
        <v>243</v>
      </c>
    </row>
    <row r="278" spans="1:76">
      <c r="A278" s="68"/>
      <c r="D278" s="69" t="s">
        <v>659</v>
      </c>
      <c r="E278" s="70" t="s">
        <v>4</v>
      </c>
      <c r="G278" s="71">
        <v>89.525999999999996</v>
      </c>
      <c r="K278" s="51"/>
    </row>
    <row r="279" spans="1:76">
      <c r="A279" s="1" t="s">
        <v>660</v>
      </c>
      <c r="B279" s="2" t="s">
        <v>90</v>
      </c>
      <c r="C279" s="2" t="s">
        <v>251</v>
      </c>
      <c r="D279" s="92" t="s">
        <v>252</v>
      </c>
      <c r="E279" s="87"/>
      <c r="F279" s="2" t="s">
        <v>223</v>
      </c>
      <c r="G279" s="35">
        <v>89.525999999999996</v>
      </c>
      <c r="H279" s="61">
        <v>0</v>
      </c>
      <c r="I279" s="35">
        <f>ROUND(G279*H279,2)</f>
        <v>0</v>
      </c>
      <c r="K279" s="51"/>
      <c r="Z279" s="35">
        <f>ROUND(IF(AQ279="5",BJ279,0),2)</f>
        <v>0</v>
      </c>
      <c r="AB279" s="35">
        <f>ROUND(IF(AQ279="1",BH279,0),2)</f>
        <v>0</v>
      </c>
      <c r="AC279" s="35">
        <f>ROUND(IF(AQ279="1",BI279,0),2)</f>
        <v>0</v>
      </c>
      <c r="AD279" s="35">
        <f>ROUND(IF(AQ279="7",BH279,0),2)</f>
        <v>0</v>
      </c>
      <c r="AE279" s="35">
        <f>ROUND(IF(AQ279="7",BI279,0),2)</f>
        <v>0</v>
      </c>
      <c r="AF279" s="35">
        <f>ROUND(IF(AQ279="2",BH279,0),2)</f>
        <v>0</v>
      </c>
      <c r="AG279" s="35">
        <f>ROUND(IF(AQ279="2",BI279,0),2)</f>
        <v>0</v>
      </c>
      <c r="AH279" s="35">
        <f>ROUND(IF(AQ279="0",BJ279,0),2)</f>
        <v>0</v>
      </c>
      <c r="AI279" s="46" t="s">
        <v>90</v>
      </c>
      <c r="AJ279" s="35">
        <f>IF(AN279=0,I279,0)</f>
        <v>0</v>
      </c>
      <c r="AK279" s="35">
        <f>IF(AN279=12,I279,0)</f>
        <v>0</v>
      </c>
      <c r="AL279" s="35">
        <f>IF(AN279=21,I279,0)</f>
        <v>0</v>
      </c>
      <c r="AN279" s="35">
        <v>21</v>
      </c>
      <c r="AO279" s="35">
        <f>H279*0</f>
        <v>0</v>
      </c>
      <c r="AP279" s="35">
        <f>H279*(1-0)</f>
        <v>0</v>
      </c>
      <c r="AQ279" s="62" t="s">
        <v>127</v>
      </c>
      <c r="AV279" s="35">
        <f>ROUND(AW279+AX279,2)</f>
        <v>0</v>
      </c>
      <c r="AW279" s="35">
        <f>ROUND(G279*AO279,2)</f>
        <v>0</v>
      </c>
      <c r="AX279" s="35">
        <f>ROUND(G279*AP279,2)</f>
        <v>0</v>
      </c>
      <c r="AY279" s="62" t="s">
        <v>632</v>
      </c>
      <c r="AZ279" s="62" t="s">
        <v>633</v>
      </c>
      <c r="BA279" s="46" t="s">
        <v>634</v>
      </c>
      <c r="BC279" s="35">
        <f>AW279+AX279</f>
        <v>0</v>
      </c>
      <c r="BD279" s="35">
        <f>H279/(100-BE279)*100</f>
        <v>0</v>
      </c>
      <c r="BE279" s="35">
        <v>0</v>
      </c>
      <c r="BF279" s="35">
        <f>279</f>
        <v>279</v>
      </c>
      <c r="BH279" s="35">
        <f>G279*AO279</f>
        <v>0</v>
      </c>
      <c r="BI279" s="35">
        <f>G279*AP279</f>
        <v>0</v>
      </c>
      <c r="BJ279" s="35">
        <f>G279*H279</f>
        <v>0</v>
      </c>
      <c r="BK279" s="62" t="s">
        <v>135</v>
      </c>
      <c r="BL279" s="35">
        <v>13</v>
      </c>
      <c r="BW279" s="35">
        <v>21</v>
      </c>
      <c r="BX279" s="3" t="s">
        <v>252</v>
      </c>
    </row>
    <row r="280" spans="1:76">
      <c r="A280" s="57" t="s">
        <v>4</v>
      </c>
      <c r="B280" s="58" t="s">
        <v>90</v>
      </c>
      <c r="C280" s="58" t="s">
        <v>177</v>
      </c>
      <c r="D280" s="174" t="s">
        <v>253</v>
      </c>
      <c r="E280" s="175"/>
      <c r="F280" s="59" t="s">
        <v>79</v>
      </c>
      <c r="G280" s="59" t="s">
        <v>79</v>
      </c>
      <c r="H280" s="60" t="s">
        <v>79</v>
      </c>
      <c r="I280" s="40">
        <f>SUM(I281:I283)</f>
        <v>0</v>
      </c>
      <c r="K280" s="51"/>
      <c r="AI280" s="46" t="s">
        <v>90</v>
      </c>
      <c r="AS280" s="40">
        <f>SUM(AJ281:AJ283)</f>
        <v>0</v>
      </c>
      <c r="AT280" s="40">
        <f>SUM(AK281:AK283)</f>
        <v>0</v>
      </c>
      <c r="AU280" s="40">
        <f>SUM(AL281:AL283)</f>
        <v>0</v>
      </c>
    </row>
    <row r="281" spans="1:76">
      <c r="A281" s="1" t="s">
        <v>661</v>
      </c>
      <c r="B281" s="2" t="s">
        <v>90</v>
      </c>
      <c r="C281" s="2" t="s">
        <v>271</v>
      </c>
      <c r="D281" s="92" t="s">
        <v>272</v>
      </c>
      <c r="E281" s="87"/>
      <c r="F281" s="2" t="s">
        <v>192</v>
      </c>
      <c r="G281" s="35">
        <v>50</v>
      </c>
      <c r="H281" s="61">
        <v>0</v>
      </c>
      <c r="I281" s="35">
        <f>ROUND(G281*H281,2)</f>
        <v>0</v>
      </c>
      <c r="K281" s="51"/>
      <c r="Z281" s="35">
        <f>ROUND(IF(AQ281="5",BJ281,0),2)</f>
        <v>0</v>
      </c>
      <c r="AB281" s="35">
        <f>ROUND(IF(AQ281="1",BH281,0),2)</f>
        <v>0</v>
      </c>
      <c r="AC281" s="35">
        <f>ROUND(IF(AQ281="1",BI281,0),2)</f>
        <v>0</v>
      </c>
      <c r="AD281" s="35">
        <f>ROUND(IF(AQ281="7",BH281,0),2)</f>
        <v>0</v>
      </c>
      <c r="AE281" s="35">
        <f>ROUND(IF(AQ281="7",BI281,0),2)</f>
        <v>0</v>
      </c>
      <c r="AF281" s="35">
        <f>ROUND(IF(AQ281="2",BH281,0),2)</f>
        <v>0</v>
      </c>
      <c r="AG281" s="35">
        <f>ROUND(IF(AQ281="2",BI281,0),2)</f>
        <v>0</v>
      </c>
      <c r="AH281" s="35">
        <f>ROUND(IF(AQ281="0",BJ281,0),2)</f>
        <v>0</v>
      </c>
      <c r="AI281" s="46" t="s">
        <v>90</v>
      </c>
      <c r="AJ281" s="35">
        <f>IF(AN281=0,I281,0)</f>
        <v>0</v>
      </c>
      <c r="AK281" s="35">
        <f>IF(AN281=12,I281,0)</f>
        <v>0</v>
      </c>
      <c r="AL281" s="35">
        <f>IF(AN281=21,I281,0)</f>
        <v>0</v>
      </c>
      <c r="AN281" s="35">
        <v>21</v>
      </c>
      <c r="AO281" s="35">
        <f>H281*0.03626504</f>
        <v>0</v>
      </c>
      <c r="AP281" s="35">
        <f>H281*(1-0.03626504)</f>
        <v>0</v>
      </c>
      <c r="AQ281" s="62" t="s">
        <v>127</v>
      </c>
      <c r="AV281" s="35">
        <f>ROUND(AW281+AX281,2)</f>
        <v>0</v>
      </c>
      <c r="AW281" s="35">
        <f>ROUND(G281*AO281,2)</f>
        <v>0</v>
      </c>
      <c r="AX281" s="35">
        <f>ROUND(G281*AP281,2)</f>
        <v>0</v>
      </c>
      <c r="AY281" s="62" t="s">
        <v>257</v>
      </c>
      <c r="AZ281" s="62" t="s">
        <v>633</v>
      </c>
      <c r="BA281" s="46" t="s">
        <v>634</v>
      </c>
      <c r="BC281" s="35">
        <f>AW281+AX281</f>
        <v>0</v>
      </c>
      <c r="BD281" s="35">
        <f>H281/(100-BE281)*100</f>
        <v>0</v>
      </c>
      <c r="BE281" s="35">
        <v>0</v>
      </c>
      <c r="BF281" s="35">
        <f>281</f>
        <v>281</v>
      </c>
      <c r="BH281" s="35">
        <f>G281*AO281</f>
        <v>0</v>
      </c>
      <c r="BI281" s="35">
        <f>G281*AP281</f>
        <v>0</v>
      </c>
      <c r="BJ281" s="35">
        <f>G281*H281</f>
        <v>0</v>
      </c>
      <c r="BK281" s="62" t="s">
        <v>135</v>
      </c>
      <c r="BL281" s="35">
        <v>18</v>
      </c>
      <c r="BW281" s="35">
        <v>21</v>
      </c>
      <c r="BX281" s="3" t="s">
        <v>272</v>
      </c>
    </row>
    <row r="282" spans="1:76">
      <c r="A282" s="1" t="s">
        <v>662</v>
      </c>
      <c r="B282" s="2" t="s">
        <v>90</v>
      </c>
      <c r="C282" s="2" t="s">
        <v>265</v>
      </c>
      <c r="D282" s="92" t="s">
        <v>266</v>
      </c>
      <c r="E282" s="87"/>
      <c r="F282" s="2" t="s">
        <v>192</v>
      </c>
      <c r="G282" s="35">
        <v>50</v>
      </c>
      <c r="H282" s="61">
        <v>0</v>
      </c>
      <c r="I282" s="35">
        <f>ROUND(G282*H282,2)</f>
        <v>0</v>
      </c>
      <c r="K282" s="51"/>
      <c r="Z282" s="35">
        <f>ROUND(IF(AQ282="5",BJ282,0),2)</f>
        <v>0</v>
      </c>
      <c r="AB282" s="35">
        <f>ROUND(IF(AQ282="1",BH282,0),2)</f>
        <v>0</v>
      </c>
      <c r="AC282" s="35">
        <f>ROUND(IF(AQ282="1",BI282,0),2)</f>
        <v>0</v>
      </c>
      <c r="AD282" s="35">
        <f>ROUND(IF(AQ282="7",BH282,0),2)</f>
        <v>0</v>
      </c>
      <c r="AE282" s="35">
        <f>ROUND(IF(AQ282="7",BI282,0),2)</f>
        <v>0</v>
      </c>
      <c r="AF282" s="35">
        <f>ROUND(IF(AQ282="2",BH282,0),2)</f>
        <v>0</v>
      </c>
      <c r="AG282" s="35">
        <f>ROUND(IF(AQ282="2",BI282,0),2)</f>
        <v>0</v>
      </c>
      <c r="AH282" s="35">
        <f>ROUND(IF(AQ282="0",BJ282,0),2)</f>
        <v>0</v>
      </c>
      <c r="AI282" s="46" t="s">
        <v>90</v>
      </c>
      <c r="AJ282" s="35">
        <f>IF(AN282=0,I282,0)</f>
        <v>0</v>
      </c>
      <c r="AK282" s="35">
        <f>IF(AN282=12,I282,0)</f>
        <v>0</v>
      </c>
      <c r="AL282" s="35">
        <f>IF(AN282=21,I282,0)</f>
        <v>0</v>
      </c>
      <c r="AN282" s="35">
        <v>21</v>
      </c>
      <c r="AO282" s="35">
        <f>H282*0</f>
        <v>0</v>
      </c>
      <c r="AP282" s="35">
        <f>H282*(1-0)</f>
        <v>0</v>
      </c>
      <c r="AQ282" s="62" t="s">
        <v>127</v>
      </c>
      <c r="AV282" s="35">
        <f>ROUND(AW282+AX282,2)</f>
        <v>0</v>
      </c>
      <c r="AW282" s="35">
        <f>ROUND(G282*AO282,2)</f>
        <v>0</v>
      </c>
      <c r="AX282" s="35">
        <f>ROUND(G282*AP282,2)</f>
        <v>0</v>
      </c>
      <c r="AY282" s="62" t="s">
        <v>257</v>
      </c>
      <c r="AZ282" s="62" t="s">
        <v>633</v>
      </c>
      <c r="BA282" s="46" t="s">
        <v>634</v>
      </c>
      <c r="BC282" s="35">
        <f>AW282+AX282</f>
        <v>0</v>
      </c>
      <c r="BD282" s="35">
        <f>H282/(100-BE282)*100</f>
        <v>0</v>
      </c>
      <c r="BE282" s="35">
        <v>0</v>
      </c>
      <c r="BF282" s="35">
        <f>282</f>
        <v>282</v>
      </c>
      <c r="BH282" s="35">
        <f>G282*AO282</f>
        <v>0</v>
      </c>
      <c r="BI282" s="35">
        <f>G282*AP282</f>
        <v>0</v>
      </c>
      <c r="BJ282" s="35">
        <f>G282*H282</f>
        <v>0</v>
      </c>
      <c r="BK282" s="62" t="s">
        <v>135</v>
      </c>
      <c r="BL282" s="35">
        <v>18</v>
      </c>
      <c r="BW282" s="35">
        <v>21</v>
      </c>
      <c r="BX282" s="3" t="s">
        <v>266</v>
      </c>
    </row>
    <row r="283" spans="1:76">
      <c r="A283" s="1" t="s">
        <v>663</v>
      </c>
      <c r="B283" s="2" t="s">
        <v>90</v>
      </c>
      <c r="C283" s="2" t="s">
        <v>274</v>
      </c>
      <c r="D283" s="92" t="s">
        <v>275</v>
      </c>
      <c r="E283" s="87"/>
      <c r="F283" s="2" t="s">
        <v>276</v>
      </c>
      <c r="G283" s="35">
        <v>2.5</v>
      </c>
      <c r="H283" s="61">
        <v>0</v>
      </c>
      <c r="I283" s="35">
        <f>ROUND(G283*H283,2)</f>
        <v>0</v>
      </c>
      <c r="K283" s="51"/>
      <c r="Z283" s="35">
        <f>ROUND(IF(AQ283="5",BJ283,0),2)</f>
        <v>0</v>
      </c>
      <c r="AB283" s="35">
        <f>ROUND(IF(AQ283="1",BH283,0),2)</f>
        <v>0</v>
      </c>
      <c r="AC283" s="35">
        <f>ROUND(IF(AQ283="1",BI283,0),2)</f>
        <v>0</v>
      </c>
      <c r="AD283" s="35">
        <f>ROUND(IF(AQ283="7",BH283,0),2)</f>
        <v>0</v>
      </c>
      <c r="AE283" s="35">
        <f>ROUND(IF(AQ283="7",BI283,0),2)</f>
        <v>0</v>
      </c>
      <c r="AF283" s="35">
        <f>ROUND(IF(AQ283="2",BH283,0),2)</f>
        <v>0</v>
      </c>
      <c r="AG283" s="35">
        <f>ROUND(IF(AQ283="2",BI283,0),2)</f>
        <v>0</v>
      </c>
      <c r="AH283" s="35">
        <f>ROUND(IF(AQ283="0",BJ283,0),2)</f>
        <v>0</v>
      </c>
      <c r="AI283" s="46" t="s">
        <v>90</v>
      </c>
      <c r="AJ283" s="35">
        <f>IF(AN283=0,I283,0)</f>
        <v>0</v>
      </c>
      <c r="AK283" s="35">
        <f>IF(AN283=12,I283,0)</f>
        <v>0</v>
      </c>
      <c r="AL283" s="35">
        <f>IF(AN283=21,I283,0)</f>
        <v>0</v>
      </c>
      <c r="AN283" s="35">
        <v>21</v>
      </c>
      <c r="AO283" s="35">
        <f>H283*1</f>
        <v>0</v>
      </c>
      <c r="AP283" s="35">
        <f>H283*(1-1)</f>
        <v>0</v>
      </c>
      <c r="AQ283" s="62" t="s">
        <v>127</v>
      </c>
      <c r="AV283" s="35">
        <f>ROUND(AW283+AX283,2)</f>
        <v>0</v>
      </c>
      <c r="AW283" s="35">
        <f>ROUND(G283*AO283,2)</f>
        <v>0</v>
      </c>
      <c r="AX283" s="35">
        <f>ROUND(G283*AP283,2)</f>
        <v>0</v>
      </c>
      <c r="AY283" s="62" t="s">
        <v>257</v>
      </c>
      <c r="AZ283" s="62" t="s">
        <v>633</v>
      </c>
      <c r="BA283" s="46" t="s">
        <v>634</v>
      </c>
      <c r="BC283" s="35">
        <f>AW283+AX283</f>
        <v>0</v>
      </c>
      <c r="BD283" s="35">
        <f>H283/(100-BE283)*100</f>
        <v>0</v>
      </c>
      <c r="BE283" s="35">
        <v>0</v>
      </c>
      <c r="BF283" s="35">
        <f>283</f>
        <v>283</v>
      </c>
      <c r="BH283" s="35">
        <f>G283*AO283</f>
        <v>0</v>
      </c>
      <c r="BI283" s="35">
        <f>G283*AP283</f>
        <v>0</v>
      </c>
      <c r="BJ283" s="35">
        <f>G283*H283</f>
        <v>0</v>
      </c>
      <c r="BK283" s="62" t="s">
        <v>277</v>
      </c>
      <c r="BL283" s="35">
        <v>18</v>
      </c>
      <c r="BW283" s="35">
        <v>21</v>
      </c>
      <c r="BX283" s="3" t="s">
        <v>275</v>
      </c>
    </row>
    <row r="284" spans="1:76">
      <c r="A284" s="57" t="s">
        <v>4</v>
      </c>
      <c r="B284" s="58" t="s">
        <v>90</v>
      </c>
      <c r="C284" s="58" t="s">
        <v>186</v>
      </c>
      <c r="D284" s="174" t="s">
        <v>278</v>
      </c>
      <c r="E284" s="175"/>
      <c r="F284" s="59" t="s">
        <v>79</v>
      </c>
      <c r="G284" s="59" t="s">
        <v>79</v>
      </c>
      <c r="H284" s="60" t="s">
        <v>79</v>
      </c>
      <c r="I284" s="40">
        <f>SUM(I285:I298)</f>
        <v>0</v>
      </c>
      <c r="K284" s="51"/>
      <c r="AI284" s="46" t="s">
        <v>90</v>
      </c>
      <c r="AS284" s="40">
        <f>SUM(AJ285:AJ298)</f>
        <v>0</v>
      </c>
      <c r="AT284" s="40">
        <f>SUM(AK285:AK298)</f>
        <v>0</v>
      </c>
      <c r="AU284" s="40">
        <f>SUM(AL285:AL298)</f>
        <v>0</v>
      </c>
    </row>
    <row r="285" spans="1:76">
      <c r="A285" s="1" t="s">
        <v>664</v>
      </c>
      <c r="B285" s="2" t="s">
        <v>90</v>
      </c>
      <c r="C285" s="2" t="s">
        <v>280</v>
      </c>
      <c r="D285" s="92" t="s">
        <v>281</v>
      </c>
      <c r="E285" s="87"/>
      <c r="F285" s="2" t="s">
        <v>282</v>
      </c>
      <c r="G285" s="35">
        <v>101.6</v>
      </c>
      <c r="H285" s="61">
        <v>0</v>
      </c>
      <c r="I285" s="35">
        <f>ROUND(G285*H285,2)</f>
        <v>0</v>
      </c>
      <c r="K285" s="51"/>
      <c r="Z285" s="35">
        <f>ROUND(IF(AQ285="5",BJ285,0),2)</f>
        <v>0</v>
      </c>
      <c r="AB285" s="35">
        <f>ROUND(IF(AQ285="1",BH285,0),2)</f>
        <v>0</v>
      </c>
      <c r="AC285" s="35">
        <f>ROUND(IF(AQ285="1",BI285,0),2)</f>
        <v>0</v>
      </c>
      <c r="AD285" s="35">
        <f>ROUND(IF(AQ285="7",BH285,0),2)</f>
        <v>0</v>
      </c>
      <c r="AE285" s="35">
        <f>ROUND(IF(AQ285="7",BI285,0),2)</f>
        <v>0</v>
      </c>
      <c r="AF285" s="35">
        <f>ROUND(IF(AQ285="2",BH285,0),2)</f>
        <v>0</v>
      </c>
      <c r="AG285" s="35">
        <f>ROUND(IF(AQ285="2",BI285,0),2)</f>
        <v>0</v>
      </c>
      <c r="AH285" s="35">
        <f>ROUND(IF(AQ285="0",BJ285,0),2)</f>
        <v>0</v>
      </c>
      <c r="AI285" s="46" t="s">
        <v>90</v>
      </c>
      <c r="AJ285" s="35">
        <f>IF(AN285=0,I285,0)</f>
        <v>0</v>
      </c>
      <c r="AK285" s="35">
        <f>IF(AN285=12,I285,0)</f>
        <v>0</v>
      </c>
      <c r="AL285" s="35">
        <f>IF(AN285=21,I285,0)</f>
        <v>0</v>
      </c>
      <c r="AN285" s="35">
        <v>21</v>
      </c>
      <c r="AO285" s="35">
        <f>H285*0</f>
        <v>0</v>
      </c>
      <c r="AP285" s="35">
        <f>H285*(1-0)</f>
        <v>0</v>
      </c>
      <c r="AQ285" s="62" t="s">
        <v>127</v>
      </c>
      <c r="AV285" s="35">
        <f>ROUND(AW285+AX285,2)</f>
        <v>0</v>
      </c>
      <c r="AW285" s="35">
        <f>ROUND(G285*AO285,2)</f>
        <v>0</v>
      </c>
      <c r="AX285" s="35">
        <f>ROUND(G285*AP285,2)</f>
        <v>0</v>
      </c>
      <c r="AY285" s="62" t="s">
        <v>283</v>
      </c>
      <c r="AZ285" s="62" t="s">
        <v>665</v>
      </c>
      <c r="BA285" s="46" t="s">
        <v>634</v>
      </c>
      <c r="BC285" s="35">
        <f>AW285+AX285</f>
        <v>0</v>
      </c>
      <c r="BD285" s="35">
        <f>H285/(100-BE285)*100</f>
        <v>0</v>
      </c>
      <c r="BE285" s="35">
        <v>0</v>
      </c>
      <c r="BF285" s="35">
        <f>285</f>
        <v>285</v>
      </c>
      <c r="BH285" s="35">
        <f>G285*AO285</f>
        <v>0</v>
      </c>
      <c r="BI285" s="35">
        <f>G285*AP285</f>
        <v>0</v>
      </c>
      <c r="BJ285" s="35">
        <f>G285*H285</f>
        <v>0</v>
      </c>
      <c r="BK285" s="62" t="s">
        <v>135</v>
      </c>
      <c r="BL285" s="35">
        <v>21</v>
      </c>
      <c r="BW285" s="35">
        <v>21</v>
      </c>
      <c r="BX285" s="3" t="s">
        <v>281</v>
      </c>
    </row>
    <row r="286" spans="1:76">
      <c r="A286" s="68"/>
      <c r="D286" s="69" t="s">
        <v>666</v>
      </c>
      <c r="E286" s="70" t="s">
        <v>667</v>
      </c>
      <c r="G286" s="71">
        <v>101.6</v>
      </c>
      <c r="K286" s="51"/>
    </row>
    <row r="287" spans="1:76">
      <c r="A287" s="1" t="s">
        <v>668</v>
      </c>
      <c r="B287" s="2" t="s">
        <v>90</v>
      </c>
      <c r="C287" s="2" t="s">
        <v>287</v>
      </c>
      <c r="D287" s="92" t="s">
        <v>288</v>
      </c>
      <c r="E287" s="87"/>
      <c r="F287" s="2" t="s">
        <v>282</v>
      </c>
      <c r="G287" s="35">
        <v>111.76</v>
      </c>
      <c r="H287" s="61">
        <v>0</v>
      </c>
      <c r="I287" s="35">
        <f>ROUND(G287*H287,2)</f>
        <v>0</v>
      </c>
      <c r="K287" s="51"/>
      <c r="Z287" s="35">
        <f>ROUND(IF(AQ287="5",BJ287,0),2)</f>
        <v>0</v>
      </c>
      <c r="AB287" s="35">
        <f>ROUND(IF(AQ287="1",BH287,0),2)</f>
        <v>0</v>
      </c>
      <c r="AC287" s="35">
        <f>ROUND(IF(AQ287="1",BI287,0),2)</f>
        <v>0</v>
      </c>
      <c r="AD287" s="35">
        <f>ROUND(IF(AQ287="7",BH287,0),2)</f>
        <v>0</v>
      </c>
      <c r="AE287" s="35">
        <f>ROUND(IF(AQ287="7",BI287,0),2)</f>
        <v>0</v>
      </c>
      <c r="AF287" s="35">
        <f>ROUND(IF(AQ287="2",BH287,0),2)</f>
        <v>0</v>
      </c>
      <c r="AG287" s="35">
        <f>ROUND(IF(AQ287="2",BI287,0),2)</f>
        <v>0</v>
      </c>
      <c r="AH287" s="35">
        <f>ROUND(IF(AQ287="0",BJ287,0),2)</f>
        <v>0</v>
      </c>
      <c r="AI287" s="46" t="s">
        <v>90</v>
      </c>
      <c r="AJ287" s="35">
        <f>IF(AN287=0,I287,0)</f>
        <v>0</v>
      </c>
      <c r="AK287" s="35">
        <f>IF(AN287=12,I287,0)</f>
        <v>0</v>
      </c>
      <c r="AL287" s="35">
        <f>IF(AN287=21,I287,0)</f>
        <v>0</v>
      </c>
      <c r="AN287" s="35">
        <v>21</v>
      </c>
      <c r="AO287" s="35">
        <f>H287*1</f>
        <v>0</v>
      </c>
      <c r="AP287" s="35">
        <f>H287*(1-1)</f>
        <v>0</v>
      </c>
      <c r="AQ287" s="62" t="s">
        <v>127</v>
      </c>
      <c r="AV287" s="35">
        <f>ROUND(AW287+AX287,2)</f>
        <v>0</v>
      </c>
      <c r="AW287" s="35">
        <f>ROUND(G287*AO287,2)</f>
        <v>0</v>
      </c>
      <c r="AX287" s="35">
        <f>ROUND(G287*AP287,2)</f>
        <v>0</v>
      </c>
      <c r="AY287" s="62" t="s">
        <v>283</v>
      </c>
      <c r="AZ287" s="62" t="s">
        <v>665</v>
      </c>
      <c r="BA287" s="46" t="s">
        <v>634</v>
      </c>
      <c r="BC287" s="35">
        <f>AW287+AX287</f>
        <v>0</v>
      </c>
      <c r="BD287" s="35">
        <f>H287/(100-BE287)*100</f>
        <v>0</v>
      </c>
      <c r="BE287" s="35">
        <v>0</v>
      </c>
      <c r="BF287" s="35">
        <f>287</f>
        <v>287</v>
      </c>
      <c r="BH287" s="35">
        <f>G287*AO287</f>
        <v>0</v>
      </c>
      <c r="BI287" s="35">
        <f>G287*AP287</f>
        <v>0</v>
      </c>
      <c r="BJ287" s="35">
        <f>G287*H287</f>
        <v>0</v>
      </c>
      <c r="BK287" s="62" t="s">
        <v>277</v>
      </c>
      <c r="BL287" s="35">
        <v>21</v>
      </c>
      <c r="BW287" s="35">
        <v>21</v>
      </c>
      <c r="BX287" s="3" t="s">
        <v>288</v>
      </c>
    </row>
    <row r="288" spans="1:76">
      <c r="A288" s="68"/>
      <c r="D288" s="69" t="s">
        <v>669</v>
      </c>
      <c r="E288" s="70" t="s">
        <v>4</v>
      </c>
      <c r="G288" s="71">
        <v>111.76</v>
      </c>
      <c r="K288" s="51"/>
    </row>
    <row r="289" spans="1:76">
      <c r="A289" s="1" t="s">
        <v>670</v>
      </c>
      <c r="B289" s="2" t="s">
        <v>90</v>
      </c>
      <c r="C289" s="2" t="s">
        <v>671</v>
      </c>
      <c r="D289" s="92" t="s">
        <v>672</v>
      </c>
      <c r="E289" s="87"/>
      <c r="F289" s="2" t="s">
        <v>282</v>
      </c>
      <c r="G289" s="35">
        <v>8.1</v>
      </c>
      <c r="H289" s="61">
        <v>0</v>
      </c>
      <c r="I289" s="35">
        <f>ROUND(G289*H289,2)</f>
        <v>0</v>
      </c>
      <c r="K289" s="51"/>
      <c r="Z289" s="35">
        <f>ROUND(IF(AQ289="5",BJ289,0),2)</f>
        <v>0</v>
      </c>
      <c r="AB289" s="35">
        <f>ROUND(IF(AQ289="1",BH289,0),2)</f>
        <v>0</v>
      </c>
      <c r="AC289" s="35">
        <f>ROUND(IF(AQ289="1",BI289,0),2)</f>
        <v>0</v>
      </c>
      <c r="AD289" s="35">
        <f>ROUND(IF(AQ289="7",BH289,0),2)</f>
        <v>0</v>
      </c>
      <c r="AE289" s="35">
        <f>ROUND(IF(AQ289="7",BI289,0),2)</f>
        <v>0</v>
      </c>
      <c r="AF289" s="35">
        <f>ROUND(IF(AQ289="2",BH289,0),2)</f>
        <v>0</v>
      </c>
      <c r="AG289" s="35">
        <f>ROUND(IF(AQ289="2",BI289,0),2)</f>
        <v>0</v>
      </c>
      <c r="AH289" s="35">
        <f>ROUND(IF(AQ289="0",BJ289,0),2)</f>
        <v>0</v>
      </c>
      <c r="AI289" s="46" t="s">
        <v>90</v>
      </c>
      <c r="AJ289" s="35">
        <f>IF(AN289=0,I289,0)</f>
        <v>0</v>
      </c>
      <c r="AK289" s="35">
        <f>IF(AN289=12,I289,0)</f>
        <v>0</v>
      </c>
      <c r="AL289" s="35">
        <f>IF(AN289=21,I289,0)</f>
        <v>0</v>
      </c>
      <c r="AN289" s="35">
        <v>21</v>
      </c>
      <c r="AO289" s="35">
        <f>H289*0</f>
        <v>0</v>
      </c>
      <c r="AP289" s="35">
        <f>H289*(1-0)</f>
        <v>0</v>
      </c>
      <c r="AQ289" s="62" t="s">
        <v>127</v>
      </c>
      <c r="AV289" s="35">
        <f>ROUND(AW289+AX289,2)</f>
        <v>0</v>
      </c>
      <c r="AW289" s="35">
        <f>ROUND(G289*AO289,2)</f>
        <v>0</v>
      </c>
      <c r="AX289" s="35">
        <f>ROUND(G289*AP289,2)</f>
        <v>0</v>
      </c>
      <c r="AY289" s="62" t="s">
        <v>283</v>
      </c>
      <c r="AZ289" s="62" t="s">
        <v>665</v>
      </c>
      <c r="BA289" s="46" t="s">
        <v>634</v>
      </c>
      <c r="BC289" s="35">
        <f>AW289+AX289</f>
        <v>0</v>
      </c>
      <c r="BD289" s="35">
        <f>H289/(100-BE289)*100</f>
        <v>0</v>
      </c>
      <c r="BE289" s="35">
        <v>0</v>
      </c>
      <c r="BF289" s="35">
        <f>289</f>
        <v>289</v>
      </c>
      <c r="BH289" s="35">
        <f>G289*AO289</f>
        <v>0</v>
      </c>
      <c r="BI289" s="35">
        <f>G289*AP289</f>
        <v>0</v>
      </c>
      <c r="BJ289" s="35">
        <f>G289*H289</f>
        <v>0</v>
      </c>
      <c r="BK289" s="62" t="s">
        <v>135</v>
      </c>
      <c r="BL289" s="35">
        <v>21</v>
      </c>
      <c r="BW289" s="35">
        <v>21</v>
      </c>
      <c r="BX289" s="3" t="s">
        <v>672</v>
      </c>
    </row>
    <row r="290" spans="1:76">
      <c r="A290" s="68"/>
      <c r="D290" s="69" t="s">
        <v>673</v>
      </c>
      <c r="E290" s="70" t="s">
        <v>652</v>
      </c>
      <c r="G290" s="71">
        <v>8.1</v>
      </c>
      <c r="K290" s="51"/>
    </row>
    <row r="291" spans="1:76">
      <c r="A291" s="1" t="s">
        <v>674</v>
      </c>
      <c r="B291" s="2" t="s">
        <v>90</v>
      </c>
      <c r="C291" s="2" t="s">
        <v>675</v>
      </c>
      <c r="D291" s="92" t="s">
        <v>676</v>
      </c>
      <c r="E291" s="87"/>
      <c r="F291" s="2" t="s">
        <v>282</v>
      </c>
      <c r="G291" s="35">
        <v>9</v>
      </c>
      <c r="H291" s="61">
        <v>0</v>
      </c>
      <c r="I291" s="35">
        <f>ROUND(G291*H291,2)</f>
        <v>0</v>
      </c>
      <c r="K291" s="51"/>
      <c r="Z291" s="35">
        <f>ROUND(IF(AQ291="5",BJ291,0),2)</f>
        <v>0</v>
      </c>
      <c r="AB291" s="35">
        <f>ROUND(IF(AQ291="1",BH291,0),2)</f>
        <v>0</v>
      </c>
      <c r="AC291" s="35">
        <f>ROUND(IF(AQ291="1",BI291,0),2)</f>
        <v>0</v>
      </c>
      <c r="AD291" s="35">
        <f>ROUND(IF(AQ291="7",BH291,0),2)</f>
        <v>0</v>
      </c>
      <c r="AE291" s="35">
        <f>ROUND(IF(AQ291="7",BI291,0),2)</f>
        <v>0</v>
      </c>
      <c r="AF291" s="35">
        <f>ROUND(IF(AQ291="2",BH291,0),2)</f>
        <v>0</v>
      </c>
      <c r="AG291" s="35">
        <f>ROUND(IF(AQ291="2",BI291,0),2)</f>
        <v>0</v>
      </c>
      <c r="AH291" s="35">
        <f>ROUND(IF(AQ291="0",BJ291,0),2)</f>
        <v>0</v>
      </c>
      <c r="AI291" s="46" t="s">
        <v>90</v>
      </c>
      <c r="AJ291" s="35">
        <f>IF(AN291=0,I291,0)</f>
        <v>0</v>
      </c>
      <c r="AK291" s="35">
        <f>IF(AN291=12,I291,0)</f>
        <v>0</v>
      </c>
      <c r="AL291" s="35">
        <f>IF(AN291=21,I291,0)</f>
        <v>0</v>
      </c>
      <c r="AN291" s="35">
        <v>21</v>
      </c>
      <c r="AO291" s="35">
        <f>H291*1</f>
        <v>0</v>
      </c>
      <c r="AP291" s="35">
        <f>H291*(1-1)</f>
        <v>0</v>
      </c>
      <c r="AQ291" s="62" t="s">
        <v>127</v>
      </c>
      <c r="AV291" s="35">
        <f>ROUND(AW291+AX291,2)</f>
        <v>0</v>
      </c>
      <c r="AW291" s="35">
        <f>ROUND(G291*AO291,2)</f>
        <v>0</v>
      </c>
      <c r="AX291" s="35">
        <f>ROUND(G291*AP291,2)</f>
        <v>0</v>
      </c>
      <c r="AY291" s="62" t="s">
        <v>283</v>
      </c>
      <c r="AZ291" s="62" t="s">
        <v>665</v>
      </c>
      <c r="BA291" s="46" t="s">
        <v>634</v>
      </c>
      <c r="BC291" s="35">
        <f>AW291+AX291</f>
        <v>0</v>
      </c>
      <c r="BD291" s="35">
        <f>H291/(100-BE291)*100</f>
        <v>0</v>
      </c>
      <c r="BE291" s="35">
        <v>0</v>
      </c>
      <c r="BF291" s="35">
        <f>291</f>
        <v>291</v>
      </c>
      <c r="BH291" s="35">
        <f>G291*AO291</f>
        <v>0</v>
      </c>
      <c r="BI291" s="35">
        <f>G291*AP291</f>
        <v>0</v>
      </c>
      <c r="BJ291" s="35">
        <f>G291*H291</f>
        <v>0</v>
      </c>
      <c r="BK291" s="62" t="s">
        <v>277</v>
      </c>
      <c r="BL291" s="35">
        <v>21</v>
      </c>
      <c r="BW291" s="35">
        <v>21</v>
      </c>
      <c r="BX291" s="3" t="s">
        <v>676</v>
      </c>
    </row>
    <row r="292" spans="1:76">
      <c r="A292" s="1" t="s">
        <v>677</v>
      </c>
      <c r="B292" s="2" t="s">
        <v>90</v>
      </c>
      <c r="C292" s="2" t="s">
        <v>678</v>
      </c>
      <c r="D292" s="92" t="s">
        <v>679</v>
      </c>
      <c r="E292" s="87"/>
      <c r="F292" s="2" t="s">
        <v>223</v>
      </c>
      <c r="G292" s="35">
        <v>3.9860000000000002</v>
      </c>
      <c r="H292" s="61">
        <v>0</v>
      </c>
      <c r="I292" s="35">
        <f>ROUND(G292*H292,2)</f>
        <v>0</v>
      </c>
      <c r="K292" s="51"/>
      <c r="Z292" s="35">
        <f>ROUND(IF(AQ292="5",BJ292,0),2)</f>
        <v>0</v>
      </c>
      <c r="AB292" s="35">
        <f>ROUND(IF(AQ292="1",BH292,0),2)</f>
        <v>0</v>
      </c>
      <c r="AC292" s="35">
        <f>ROUND(IF(AQ292="1",BI292,0),2)</f>
        <v>0</v>
      </c>
      <c r="AD292" s="35">
        <f>ROUND(IF(AQ292="7",BH292,0),2)</f>
        <v>0</v>
      </c>
      <c r="AE292" s="35">
        <f>ROUND(IF(AQ292="7",BI292,0),2)</f>
        <v>0</v>
      </c>
      <c r="AF292" s="35">
        <f>ROUND(IF(AQ292="2",BH292,0),2)</f>
        <v>0</v>
      </c>
      <c r="AG292" s="35">
        <f>ROUND(IF(AQ292="2",BI292,0),2)</f>
        <v>0</v>
      </c>
      <c r="AH292" s="35">
        <f>ROUND(IF(AQ292="0",BJ292,0),2)</f>
        <v>0</v>
      </c>
      <c r="AI292" s="46" t="s">
        <v>90</v>
      </c>
      <c r="AJ292" s="35">
        <f>IF(AN292=0,I292,0)</f>
        <v>0</v>
      </c>
      <c r="AK292" s="35">
        <f>IF(AN292=12,I292,0)</f>
        <v>0</v>
      </c>
      <c r="AL292" s="35">
        <f>IF(AN292=21,I292,0)</f>
        <v>0</v>
      </c>
      <c r="AN292" s="35">
        <v>21</v>
      </c>
      <c r="AO292" s="35">
        <f>H292*0.563754269</f>
        <v>0</v>
      </c>
      <c r="AP292" s="35">
        <f>H292*(1-0.563754269)</f>
        <v>0</v>
      </c>
      <c r="AQ292" s="62" t="s">
        <v>127</v>
      </c>
      <c r="AV292" s="35">
        <f>ROUND(AW292+AX292,2)</f>
        <v>0</v>
      </c>
      <c r="AW292" s="35">
        <f>ROUND(G292*AO292,2)</f>
        <v>0</v>
      </c>
      <c r="AX292" s="35">
        <f>ROUND(G292*AP292,2)</f>
        <v>0</v>
      </c>
      <c r="AY292" s="62" t="s">
        <v>283</v>
      </c>
      <c r="AZ292" s="62" t="s">
        <v>665</v>
      </c>
      <c r="BA292" s="46" t="s">
        <v>634</v>
      </c>
      <c r="BC292" s="35">
        <f>AW292+AX292</f>
        <v>0</v>
      </c>
      <c r="BD292" s="35">
        <f>H292/(100-BE292)*100</f>
        <v>0</v>
      </c>
      <c r="BE292" s="35">
        <v>0</v>
      </c>
      <c r="BF292" s="35">
        <f>292</f>
        <v>292</v>
      </c>
      <c r="BH292" s="35">
        <f>G292*AO292</f>
        <v>0</v>
      </c>
      <c r="BI292" s="35">
        <f>G292*AP292</f>
        <v>0</v>
      </c>
      <c r="BJ292" s="35">
        <f>G292*H292</f>
        <v>0</v>
      </c>
      <c r="BK292" s="62" t="s">
        <v>135</v>
      </c>
      <c r="BL292" s="35">
        <v>21</v>
      </c>
      <c r="BW292" s="35">
        <v>21</v>
      </c>
      <c r="BX292" s="3" t="s">
        <v>679</v>
      </c>
    </row>
    <row r="293" spans="1:76">
      <c r="A293" s="68"/>
      <c r="D293" s="69" t="s">
        <v>618</v>
      </c>
      <c r="E293" s="70" t="s">
        <v>680</v>
      </c>
      <c r="G293" s="71">
        <v>3.5</v>
      </c>
      <c r="K293" s="51"/>
    </row>
    <row r="294" spans="1:76">
      <c r="A294" s="68"/>
      <c r="D294" s="69" t="s">
        <v>651</v>
      </c>
      <c r="E294" s="70" t="s">
        <v>652</v>
      </c>
      <c r="G294" s="71">
        <v>0.48599999999999999</v>
      </c>
      <c r="K294" s="51"/>
    </row>
    <row r="295" spans="1:76">
      <c r="A295" s="1" t="s">
        <v>681</v>
      </c>
      <c r="B295" s="2" t="s">
        <v>90</v>
      </c>
      <c r="C295" s="2" t="s">
        <v>682</v>
      </c>
      <c r="D295" s="92" t="s">
        <v>683</v>
      </c>
      <c r="E295" s="87"/>
      <c r="F295" s="2" t="s">
        <v>192</v>
      </c>
      <c r="G295" s="35">
        <v>98.1</v>
      </c>
      <c r="H295" s="61">
        <v>0</v>
      </c>
      <c r="I295" s="35">
        <f>ROUND(G295*H295,2)</f>
        <v>0</v>
      </c>
      <c r="K295" s="51"/>
      <c r="Z295" s="35">
        <f>ROUND(IF(AQ295="5",BJ295,0),2)</f>
        <v>0</v>
      </c>
      <c r="AB295" s="35">
        <f>ROUND(IF(AQ295="1",BH295,0),2)</f>
        <v>0</v>
      </c>
      <c r="AC295" s="35">
        <f>ROUND(IF(AQ295="1",BI295,0),2)</f>
        <v>0</v>
      </c>
      <c r="AD295" s="35">
        <f>ROUND(IF(AQ295="7",BH295,0),2)</f>
        <v>0</v>
      </c>
      <c r="AE295" s="35">
        <f>ROUND(IF(AQ295="7",BI295,0),2)</f>
        <v>0</v>
      </c>
      <c r="AF295" s="35">
        <f>ROUND(IF(AQ295="2",BH295,0),2)</f>
        <v>0</v>
      </c>
      <c r="AG295" s="35">
        <f>ROUND(IF(AQ295="2",BI295,0),2)</f>
        <v>0</v>
      </c>
      <c r="AH295" s="35">
        <f>ROUND(IF(AQ295="0",BJ295,0),2)</f>
        <v>0</v>
      </c>
      <c r="AI295" s="46" t="s">
        <v>90</v>
      </c>
      <c r="AJ295" s="35">
        <f>IF(AN295=0,I295,0)</f>
        <v>0</v>
      </c>
      <c r="AK295" s="35">
        <f>IF(AN295=12,I295,0)</f>
        <v>0</v>
      </c>
      <c r="AL295" s="35">
        <f>IF(AN295=21,I295,0)</f>
        <v>0</v>
      </c>
      <c r="AN295" s="35">
        <v>21</v>
      </c>
      <c r="AO295" s="35">
        <f>H295*0.142985964</f>
        <v>0</v>
      </c>
      <c r="AP295" s="35">
        <f>H295*(1-0.142985964)</f>
        <v>0</v>
      </c>
      <c r="AQ295" s="62" t="s">
        <v>127</v>
      </c>
      <c r="AV295" s="35">
        <f>ROUND(AW295+AX295,2)</f>
        <v>0</v>
      </c>
      <c r="AW295" s="35">
        <f>ROUND(G295*AO295,2)</f>
        <v>0</v>
      </c>
      <c r="AX295" s="35">
        <f>ROUND(G295*AP295,2)</f>
        <v>0</v>
      </c>
      <c r="AY295" s="62" t="s">
        <v>283</v>
      </c>
      <c r="AZ295" s="62" t="s">
        <v>665</v>
      </c>
      <c r="BA295" s="46" t="s">
        <v>634</v>
      </c>
      <c r="BC295" s="35">
        <f>AW295+AX295</f>
        <v>0</v>
      </c>
      <c r="BD295" s="35">
        <f>H295/(100-BE295)*100</f>
        <v>0</v>
      </c>
      <c r="BE295" s="35">
        <v>0</v>
      </c>
      <c r="BF295" s="35">
        <f>295</f>
        <v>295</v>
      </c>
      <c r="BH295" s="35">
        <f>G295*AO295</f>
        <v>0</v>
      </c>
      <c r="BI295" s="35">
        <f>G295*AP295</f>
        <v>0</v>
      </c>
      <c r="BJ295" s="35">
        <f>G295*H295</f>
        <v>0</v>
      </c>
      <c r="BK295" s="62" t="s">
        <v>135</v>
      </c>
      <c r="BL295" s="35">
        <v>21</v>
      </c>
      <c r="BW295" s="35">
        <v>21</v>
      </c>
      <c r="BX295" s="3" t="s">
        <v>683</v>
      </c>
    </row>
    <row r="296" spans="1:76">
      <c r="A296" s="68"/>
      <c r="D296" s="69" t="s">
        <v>508</v>
      </c>
      <c r="E296" s="70" t="s">
        <v>680</v>
      </c>
      <c r="G296" s="71">
        <v>90</v>
      </c>
      <c r="K296" s="51"/>
    </row>
    <row r="297" spans="1:76">
      <c r="A297" s="68"/>
      <c r="D297" s="69" t="s">
        <v>673</v>
      </c>
      <c r="E297" s="70" t="s">
        <v>652</v>
      </c>
      <c r="G297" s="71">
        <v>8.1</v>
      </c>
      <c r="K297" s="51"/>
    </row>
    <row r="298" spans="1:76">
      <c r="A298" s="1" t="s">
        <v>684</v>
      </c>
      <c r="B298" s="2" t="s">
        <v>90</v>
      </c>
      <c r="C298" s="2" t="s">
        <v>685</v>
      </c>
      <c r="D298" s="92" t="s">
        <v>686</v>
      </c>
      <c r="E298" s="87"/>
      <c r="F298" s="2" t="s">
        <v>192</v>
      </c>
      <c r="G298" s="35">
        <v>117.72</v>
      </c>
      <c r="H298" s="61">
        <v>0</v>
      </c>
      <c r="I298" s="35">
        <f>ROUND(G298*H298,2)</f>
        <v>0</v>
      </c>
      <c r="K298" s="51"/>
      <c r="Z298" s="35">
        <f>ROUND(IF(AQ298="5",BJ298,0),2)</f>
        <v>0</v>
      </c>
      <c r="AB298" s="35">
        <f>ROUND(IF(AQ298="1",BH298,0),2)</f>
        <v>0</v>
      </c>
      <c r="AC298" s="35">
        <f>ROUND(IF(AQ298="1",BI298,0),2)</f>
        <v>0</v>
      </c>
      <c r="AD298" s="35">
        <f>ROUND(IF(AQ298="7",BH298,0),2)</f>
        <v>0</v>
      </c>
      <c r="AE298" s="35">
        <f>ROUND(IF(AQ298="7",BI298,0),2)</f>
        <v>0</v>
      </c>
      <c r="AF298" s="35">
        <f>ROUND(IF(AQ298="2",BH298,0),2)</f>
        <v>0</v>
      </c>
      <c r="AG298" s="35">
        <f>ROUND(IF(AQ298="2",BI298,0),2)</f>
        <v>0</v>
      </c>
      <c r="AH298" s="35">
        <f>ROUND(IF(AQ298="0",BJ298,0),2)</f>
        <v>0</v>
      </c>
      <c r="AI298" s="46" t="s">
        <v>90</v>
      </c>
      <c r="AJ298" s="35">
        <f>IF(AN298=0,I298,0)</f>
        <v>0</v>
      </c>
      <c r="AK298" s="35">
        <f>IF(AN298=12,I298,0)</f>
        <v>0</v>
      </c>
      <c r="AL298" s="35">
        <f>IF(AN298=21,I298,0)</f>
        <v>0</v>
      </c>
      <c r="AN298" s="35">
        <v>21</v>
      </c>
      <c r="AO298" s="35">
        <f>H298*1</f>
        <v>0</v>
      </c>
      <c r="AP298" s="35">
        <f>H298*(1-1)</f>
        <v>0</v>
      </c>
      <c r="AQ298" s="62" t="s">
        <v>127</v>
      </c>
      <c r="AV298" s="35">
        <f>ROUND(AW298+AX298,2)</f>
        <v>0</v>
      </c>
      <c r="AW298" s="35">
        <f>ROUND(G298*AO298,2)</f>
        <v>0</v>
      </c>
      <c r="AX298" s="35">
        <f>ROUND(G298*AP298,2)</f>
        <v>0</v>
      </c>
      <c r="AY298" s="62" t="s">
        <v>283</v>
      </c>
      <c r="AZ298" s="62" t="s">
        <v>665</v>
      </c>
      <c r="BA298" s="46" t="s">
        <v>634</v>
      </c>
      <c r="BC298" s="35">
        <f>AW298+AX298</f>
        <v>0</v>
      </c>
      <c r="BD298" s="35">
        <f>H298/(100-BE298)*100</f>
        <v>0</v>
      </c>
      <c r="BE298" s="35">
        <v>0</v>
      </c>
      <c r="BF298" s="35">
        <f>298</f>
        <v>298</v>
      </c>
      <c r="BH298" s="35">
        <f>G298*AO298</f>
        <v>0</v>
      </c>
      <c r="BI298" s="35">
        <f>G298*AP298</f>
        <v>0</v>
      </c>
      <c r="BJ298" s="35">
        <f>G298*H298</f>
        <v>0</v>
      </c>
      <c r="BK298" s="62" t="s">
        <v>277</v>
      </c>
      <c r="BL298" s="35">
        <v>21</v>
      </c>
      <c r="BW298" s="35">
        <v>21</v>
      </c>
      <c r="BX298" s="3" t="s">
        <v>686</v>
      </c>
    </row>
    <row r="299" spans="1:76">
      <c r="A299" s="68"/>
      <c r="D299" s="69" t="s">
        <v>687</v>
      </c>
      <c r="E299" s="70" t="s">
        <v>4</v>
      </c>
      <c r="G299" s="71">
        <v>117.72</v>
      </c>
      <c r="K299" s="51"/>
    </row>
    <row r="300" spans="1:76">
      <c r="A300" s="57" t="s">
        <v>4</v>
      </c>
      <c r="B300" s="58" t="s">
        <v>90</v>
      </c>
      <c r="C300" s="58" t="s">
        <v>214</v>
      </c>
      <c r="D300" s="174" t="s">
        <v>688</v>
      </c>
      <c r="E300" s="175"/>
      <c r="F300" s="59" t="s">
        <v>79</v>
      </c>
      <c r="G300" s="59" t="s">
        <v>79</v>
      </c>
      <c r="H300" s="60" t="s">
        <v>79</v>
      </c>
      <c r="I300" s="40">
        <f>SUM(I301:I309)</f>
        <v>0</v>
      </c>
      <c r="K300" s="51"/>
      <c r="AI300" s="46" t="s">
        <v>90</v>
      </c>
      <c r="AS300" s="40">
        <f>SUM(AJ301:AJ309)</f>
        <v>0</v>
      </c>
      <c r="AT300" s="40">
        <f>SUM(AK301:AK309)</f>
        <v>0</v>
      </c>
      <c r="AU300" s="40">
        <f>SUM(AL301:AL309)</f>
        <v>0</v>
      </c>
    </row>
    <row r="301" spans="1:76">
      <c r="A301" s="1" t="s">
        <v>689</v>
      </c>
      <c r="B301" s="2" t="s">
        <v>90</v>
      </c>
      <c r="C301" s="2" t="s">
        <v>690</v>
      </c>
      <c r="D301" s="92" t="s">
        <v>691</v>
      </c>
      <c r="E301" s="87"/>
      <c r="F301" s="2" t="s">
        <v>223</v>
      </c>
      <c r="G301" s="35">
        <v>10.510999999999999</v>
      </c>
      <c r="H301" s="61">
        <v>0</v>
      </c>
      <c r="I301" s="35">
        <f>ROUND(G301*H301,2)</f>
        <v>0</v>
      </c>
      <c r="K301" s="51"/>
      <c r="Z301" s="35">
        <f>ROUND(IF(AQ301="5",BJ301,0),2)</f>
        <v>0</v>
      </c>
      <c r="AB301" s="35">
        <f>ROUND(IF(AQ301="1",BH301,0),2)</f>
        <v>0</v>
      </c>
      <c r="AC301" s="35">
        <f>ROUND(IF(AQ301="1",BI301,0),2)</f>
        <v>0</v>
      </c>
      <c r="AD301" s="35">
        <f>ROUND(IF(AQ301="7",BH301,0),2)</f>
        <v>0</v>
      </c>
      <c r="AE301" s="35">
        <f>ROUND(IF(AQ301="7",BI301,0),2)</f>
        <v>0</v>
      </c>
      <c r="AF301" s="35">
        <f>ROUND(IF(AQ301="2",BH301,0),2)</f>
        <v>0</v>
      </c>
      <c r="AG301" s="35">
        <f>ROUND(IF(AQ301="2",BI301,0),2)</f>
        <v>0</v>
      </c>
      <c r="AH301" s="35">
        <f>ROUND(IF(AQ301="0",BJ301,0),2)</f>
        <v>0</v>
      </c>
      <c r="AI301" s="46" t="s">
        <v>90</v>
      </c>
      <c r="AJ301" s="35">
        <f>IF(AN301=0,I301,0)</f>
        <v>0</v>
      </c>
      <c r="AK301" s="35">
        <f>IF(AN301=12,I301,0)</f>
        <v>0</v>
      </c>
      <c r="AL301" s="35">
        <f>IF(AN301=21,I301,0)</f>
        <v>0</v>
      </c>
      <c r="AN301" s="35">
        <v>21</v>
      </c>
      <c r="AO301" s="35">
        <f>H301*0.902395599</f>
        <v>0</v>
      </c>
      <c r="AP301" s="35">
        <f>H301*(1-0.902395599)</f>
        <v>0</v>
      </c>
      <c r="AQ301" s="62" t="s">
        <v>127</v>
      </c>
      <c r="AV301" s="35">
        <f>ROUND(AW301+AX301,2)</f>
        <v>0</v>
      </c>
      <c r="AW301" s="35">
        <f>ROUND(G301*AO301,2)</f>
        <v>0</v>
      </c>
      <c r="AX301" s="35">
        <f>ROUND(G301*AP301,2)</f>
        <v>0</v>
      </c>
      <c r="AY301" s="62" t="s">
        <v>692</v>
      </c>
      <c r="AZ301" s="62" t="s">
        <v>665</v>
      </c>
      <c r="BA301" s="46" t="s">
        <v>634</v>
      </c>
      <c r="BC301" s="35">
        <f>AW301+AX301</f>
        <v>0</v>
      </c>
      <c r="BD301" s="35">
        <f>H301/(100-BE301)*100</f>
        <v>0</v>
      </c>
      <c r="BE301" s="35">
        <v>0</v>
      </c>
      <c r="BF301" s="35">
        <f>301</f>
        <v>301</v>
      </c>
      <c r="BH301" s="35">
        <f>G301*AO301</f>
        <v>0</v>
      </c>
      <c r="BI301" s="35">
        <f>G301*AP301</f>
        <v>0</v>
      </c>
      <c r="BJ301" s="35">
        <f>G301*H301</f>
        <v>0</v>
      </c>
      <c r="BK301" s="62" t="s">
        <v>135</v>
      </c>
      <c r="BL301" s="35">
        <v>27</v>
      </c>
      <c r="BW301" s="35">
        <v>21</v>
      </c>
      <c r="BX301" s="3" t="s">
        <v>691</v>
      </c>
    </row>
    <row r="302" spans="1:76">
      <c r="A302" s="68"/>
      <c r="D302" s="69" t="s">
        <v>693</v>
      </c>
      <c r="E302" s="70" t="s">
        <v>4</v>
      </c>
      <c r="G302" s="71">
        <v>10.510999999999999</v>
      </c>
      <c r="K302" s="51"/>
    </row>
    <row r="303" spans="1:76">
      <c r="A303" s="1" t="s">
        <v>694</v>
      </c>
      <c r="B303" s="2" t="s">
        <v>90</v>
      </c>
      <c r="C303" s="2" t="s">
        <v>695</v>
      </c>
      <c r="D303" s="92" t="s">
        <v>696</v>
      </c>
      <c r="E303" s="87"/>
      <c r="F303" s="2" t="s">
        <v>192</v>
      </c>
      <c r="G303" s="35">
        <v>30.24</v>
      </c>
      <c r="H303" s="61">
        <v>0</v>
      </c>
      <c r="I303" s="35">
        <f>ROUND(G303*H303,2)</f>
        <v>0</v>
      </c>
      <c r="K303" s="51"/>
      <c r="Z303" s="35">
        <f>ROUND(IF(AQ303="5",BJ303,0),2)</f>
        <v>0</v>
      </c>
      <c r="AB303" s="35">
        <f>ROUND(IF(AQ303="1",BH303,0),2)</f>
        <v>0</v>
      </c>
      <c r="AC303" s="35">
        <f>ROUND(IF(AQ303="1",BI303,0),2)</f>
        <v>0</v>
      </c>
      <c r="AD303" s="35">
        <f>ROUND(IF(AQ303="7",BH303,0),2)</f>
        <v>0</v>
      </c>
      <c r="AE303" s="35">
        <f>ROUND(IF(AQ303="7",BI303,0),2)</f>
        <v>0</v>
      </c>
      <c r="AF303" s="35">
        <f>ROUND(IF(AQ303="2",BH303,0),2)</f>
        <v>0</v>
      </c>
      <c r="AG303" s="35">
        <f>ROUND(IF(AQ303="2",BI303,0),2)</f>
        <v>0</v>
      </c>
      <c r="AH303" s="35">
        <f>ROUND(IF(AQ303="0",BJ303,0),2)</f>
        <v>0</v>
      </c>
      <c r="AI303" s="46" t="s">
        <v>90</v>
      </c>
      <c r="AJ303" s="35">
        <f>IF(AN303=0,I303,0)</f>
        <v>0</v>
      </c>
      <c r="AK303" s="35">
        <f>IF(AN303=12,I303,0)</f>
        <v>0</v>
      </c>
      <c r="AL303" s="35">
        <f>IF(AN303=21,I303,0)</f>
        <v>0</v>
      </c>
      <c r="AN303" s="35">
        <v>21</v>
      </c>
      <c r="AO303" s="35">
        <f>H303*0.322449274</f>
        <v>0</v>
      </c>
      <c r="AP303" s="35">
        <f>H303*(1-0.322449274)</f>
        <v>0</v>
      </c>
      <c r="AQ303" s="62" t="s">
        <v>127</v>
      </c>
      <c r="AV303" s="35">
        <f>ROUND(AW303+AX303,2)</f>
        <v>0</v>
      </c>
      <c r="AW303" s="35">
        <f>ROUND(G303*AO303,2)</f>
        <v>0</v>
      </c>
      <c r="AX303" s="35">
        <f>ROUND(G303*AP303,2)</f>
        <v>0</v>
      </c>
      <c r="AY303" s="62" t="s">
        <v>692</v>
      </c>
      <c r="AZ303" s="62" t="s">
        <v>665</v>
      </c>
      <c r="BA303" s="46" t="s">
        <v>634</v>
      </c>
      <c r="BC303" s="35">
        <f>AW303+AX303</f>
        <v>0</v>
      </c>
      <c r="BD303" s="35">
        <f>H303/(100-BE303)*100</f>
        <v>0</v>
      </c>
      <c r="BE303" s="35">
        <v>0</v>
      </c>
      <c r="BF303" s="35">
        <f>303</f>
        <v>303</v>
      </c>
      <c r="BH303" s="35">
        <f>G303*AO303</f>
        <v>0</v>
      </c>
      <c r="BI303" s="35">
        <f>G303*AP303</f>
        <v>0</v>
      </c>
      <c r="BJ303" s="35">
        <f>G303*H303</f>
        <v>0</v>
      </c>
      <c r="BK303" s="62" t="s">
        <v>135</v>
      </c>
      <c r="BL303" s="35">
        <v>27</v>
      </c>
      <c r="BW303" s="35">
        <v>21</v>
      </c>
      <c r="BX303" s="3" t="s">
        <v>696</v>
      </c>
    </row>
    <row r="304" spans="1:76">
      <c r="A304" s="68"/>
      <c r="D304" s="69" t="s">
        <v>697</v>
      </c>
      <c r="E304" s="70" t="s">
        <v>4</v>
      </c>
      <c r="G304" s="71">
        <v>30.24</v>
      </c>
      <c r="K304" s="51"/>
    </row>
    <row r="305" spans="1:76">
      <c r="A305" s="1" t="s">
        <v>698</v>
      </c>
      <c r="B305" s="2" t="s">
        <v>90</v>
      </c>
      <c r="C305" s="2" t="s">
        <v>699</v>
      </c>
      <c r="D305" s="92" t="s">
        <v>700</v>
      </c>
      <c r="E305" s="87"/>
      <c r="F305" s="2" t="s">
        <v>192</v>
      </c>
      <c r="G305" s="35">
        <v>30.24</v>
      </c>
      <c r="H305" s="61">
        <v>0</v>
      </c>
      <c r="I305" s="35">
        <f>ROUND(G305*H305,2)</f>
        <v>0</v>
      </c>
      <c r="K305" s="51"/>
      <c r="Z305" s="35">
        <f>ROUND(IF(AQ305="5",BJ305,0),2)</f>
        <v>0</v>
      </c>
      <c r="AB305" s="35">
        <f>ROUND(IF(AQ305="1",BH305,0),2)</f>
        <v>0</v>
      </c>
      <c r="AC305" s="35">
        <f>ROUND(IF(AQ305="1",BI305,0),2)</f>
        <v>0</v>
      </c>
      <c r="AD305" s="35">
        <f>ROUND(IF(AQ305="7",BH305,0),2)</f>
        <v>0</v>
      </c>
      <c r="AE305" s="35">
        <f>ROUND(IF(AQ305="7",BI305,0),2)</f>
        <v>0</v>
      </c>
      <c r="AF305" s="35">
        <f>ROUND(IF(AQ305="2",BH305,0),2)</f>
        <v>0</v>
      </c>
      <c r="AG305" s="35">
        <f>ROUND(IF(AQ305="2",BI305,0),2)</f>
        <v>0</v>
      </c>
      <c r="AH305" s="35">
        <f>ROUND(IF(AQ305="0",BJ305,0),2)</f>
        <v>0</v>
      </c>
      <c r="AI305" s="46" t="s">
        <v>90</v>
      </c>
      <c r="AJ305" s="35">
        <f>IF(AN305=0,I305,0)</f>
        <v>0</v>
      </c>
      <c r="AK305" s="35">
        <f>IF(AN305=12,I305,0)</f>
        <v>0</v>
      </c>
      <c r="AL305" s="35">
        <f>IF(AN305=21,I305,0)</f>
        <v>0</v>
      </c>
      <c r="AN305" s="35">
        <v>21</v>
      </c>
      <c r="AO305" s="35">
        <f>H305*0</f>
        <v>0</v>
      </c>
      <c r="AP305" s="35">
        <f>H305*(1-0)</f>
        <v>0</v>
      </c>
      <c r="AQ305" s="62" t="s">
        <v>127</v>
      </c>
      <c r="AV305" s="35">
        <f>ROUND(AW305+AX305,2)</f>
        <v>0</v>
      </c>
      <c r="AW305" s="35">
        <f>ROUND(G305*AO305,2)</f>
        <v>0</v>
      </c>
      <c r="AX305" s="35">
        <f>ROUND(G305*AP305,2)</f>
        <v>0</v>
      </c>
      <c r="AY305" s="62" t="s">
        <v>692</v>
      </c>
      <c r="AZ305" s="62" t="s">
        <v>665</v>
      </c>
      <c r="BA305" s="46" t="s">
        <v>634</v>
      </c>
      <c r="BC305" s="35">
        <f>AW305+AX305</f>
        <v>0</v>
      </c>
      <c r="BD305" s="35">
        <f>H305/(100-BE305)*100</f>
        <v>0</v>
      </c>
      <c r="BE305" s="35">
        <v>0</v>
      </c>
      <c r="BF305" s="35">
        <f>305</f>
        <v>305</v>
      </c>
      <c r="BH305" s="35">
        <f>G305*AO305</f>
        <v>0</v>
      </c>
      <c r="BI305" s="35">
        <f>G305*AP305</f>
        <v>0</v>
      </c>
      <c r="BJ305" s="35">
        <f>G305*H305</f>
        <v>0</v>
      </c>
      <c r="BK305" s="62" t="s">
        <v>135</v>
      </c>
      <c r="BL305" s="35">
        <v>27</v>
      </c>
      <c r="BW305" s="35">
        <v>21</v>
      </c>
      <c r="BX305" s="3" t="s">
        <v>700</v>
      </c>
    </row>
    <row r="306" spans="1:76">
      <c r="A306" s="1" t="s">
        <v>701</v>
      </c>
      <c r="B306" s="2" t="s">
        <v>90</v>
      </c>
      <c r="C306" s="2" t="s">
        <v>702</v>
      </c>
      <c r="D306" s="92" t="s">
        <v>703</v>
      </c>
      <c r="E306" s="87"/>
      <c r="F306" s="2" t="s">
        <v>206</v>
      </c>
      <c r="G306" s="35">
        <v>5.8999999999999997E-2</v>
      </c>
      <c r="H306" s="61">
        <v>0</v>
      </c>
      <c r="I306" s="35">
        <f>ROUND(G306*H306,2)</f>
        <v>0</v>
      </c>
      <c r="K306" s="51"/>
      <c r="Z306" s="35">
        <f>ROUND(IF(AQ306="5",BJ306,0),2)</f>
        <v>0</v>
      </c>
      <c r="AB306" s="35">
        <f>ROUND(IF(AQ306="1",BH306,0),2)</f>
        <v>0</v>
      </c>
      <c r="AC306" s="35">
        <f>ROUND(IF(AQ306="1",BI306,0),2)</f>
        <v>0</v>
      </c>
      <c r="AD306" s="35">
        <f>ROUND(IF(AQ306="7",BH306,0),2)</f>
        <v>0</v>
      </c>
      <c r="AE306" s="35">
        <f>ROUND(IF(AQ306="7",BI306,0),2)</f>
        <v>0</v>
      </c>
      <c r="AF306" s="35">
        <f>ROUND(IF(AQ306="2",BH306,0),2)</f>
        <v>0</v>
      </c>
      <c r="AG306" s="35">
        <f>ROUND(IF(AQ306="2",BI306,0),2)</f>
        <v>0</v>
      </c>
      <c r="AH306" s="35">
        <f>ROUND(IF(AQ306="0",BJ306,0),2)</f>
        <v>0</v>
      </c>
      <c r="AI306" s="46" t="s">
        <v>90</v>
      </c>
      <c r="AJ306" s="35">
        <f>IF(AN306=0,I306,0)</f>
        <v>0</v>
      </c>
      <c r="AK306" s="35">
        <f>IF(AN306=12,I306,0)</f>
        <v>0</v>
      </c>
      <c r="AL306" s="35">
        <f>IF(AN306=21,I306,0)</f>
        <v>0</v>
      </c>
      <c r="AN306" s="35">
        <v>21</v>
      </c>
      <c r="AO306" s="35">
        <f>H306*0.799582353</f>
        <v>0</v>
      </c>
      <c r="AP306" s="35">
        <f>H306*(1-0.799582353)</f>
        <v>0</v>
      </c>
      <c r="AQ306" s="62" t="s">
        <v>127</v>
      </c>
      <c r="AV306" s="35">
        <f>ROUND(AW306+AX306,2)</f>
        <v>0</v>
      </c>
      <c r="AW306" s="35">
        <f>ROUND(G306*AO306,2)</f>
        <v>0</v>
      </c>
      <c r="AX306" s="35">
        <f>ROUND(G306*AP306,2)</f>
        <v>0</v>
      </c>
      <c r="AY306" s="62" t="s">
        <v>692</v>
      </c>
      <c r="AZ306" s="62" t="s">
        <v>665</v>
      </c>
      <c r="BA306" s="46" t="s">
        <v>634</v>
      </c>
      <c r="BC306" s="35">
        <f>AW306+AX306</f>
        <v>0</v>
      </c>
      <c r="BD306" s="35">
        <f>H306/(100-BE306)*100</f>
        <v>0</v>
      </c>
      <c r="BE306" s="35">
        <v>0</v>
      </c>
      <c r="BF306" s="35">
        <f>306</f>
        <v>306</v>
      </c>
      <c r="BH306" s="35">
        <f>G306*AO306</f>
        <v>0</v>
      </c>
      <c r="BI306" s="35">
        <f>G306*AP306</f>
        <v>0</v>
      </c>
      <c r="BJ306" s="35">
        <f>G306*H306</f>
        <v>0</v>
      </c>
      <c r="BK306" s="62" t="s">
        <v>135</v>
      </c>
      <c r="BL306" s="35">
        <v>27</v>
      </c>
      <c r="BW306" s="35">
        <v>21</v>
      </c>
      <c r="BX306" s="3" t="s">
        <v>703</v>
      </c>
    </row>
    <row r="307" spans="1:76" ht="13.5" customHeight="1">
      <c r="A307" s="68"/>
      <c r="C307" s="72" t="s">
        <v>337</v>
      </c>
      <c r="D307" s="178" t="s">
        <v>704</v>
      </c>
      <c r="E307" s="179"/>
      <c r="F307" s="179"/>
      <c r="G307" s="179"/>
      <c r="H307" s="180"/>
      <c r="I307" s="179"/>
      <c r="J307" s="179"/>
      <c r="K307" s="181"/>
    </row>
    <row r="308" spans="1:76">
      <c r="A308" s="68"/>
      <c r="D308" s="69" t="s">
        <v>705</v>
      </c>
      <c r="E308" s="70" t="s">
        <v>4</v>
      </c>
      <c r="G308" s="71">
        <v>5.8999999999999997E-2</v>
      </c>
      <c r="K308" s="51"/>
    </row>
    <row r="309" spans="1:76">
      <c r="A309" s="1" t="s">
        <v>706</v>
      </c>
      <c r="B309" s="2" t="s">
        <v>90</v>
      </c>
      <c r="C309" s="2" t="s">
        <v>707</v>
      </c>
      <c r="D309" s="92" t="s">
        <v>708</v>
      </c>
      <c r="E309" s="87"/>
      <c r="F309" s="2" t="s">
        <v>223</v>
      </c>
      <c r="G309" s="35">
        <v>72.072000000000003</v>
      </c>
      <c r="H309" s="61">
        <v>0</v>
      </c>
      <c r="I309" s="35">
        <f>ROUND(G309*H309,2)</f>
        <v>0</v>
      </c>
      <c r="K309" s="51"/>
      <c r="Z309" s="35">
        <f>ROUND(IF(AQ309="5",BJ309,0),2)</f>
        <v>0</v>
      </c>
      <c r="AB309" s="35">
        <f>ROUND(IF(AQ309="1",BH309,0),2)</f>
        <v>0</v>
      </c>
      <c r="AC309" s="35">
        <f>ROUND(IF(AQ309="1",BI309,0),2)</f>
        <v>0</v>
      </c>
      <c r="AD309" s="35">
        <f>ROUND(IF(AQ309="7",BH309,0),2)</f>
        <v>0</v>
      </c>
      <c r="AE309" s="35">
        <f>ROUND(IF(AQ309="7",BI309,0),2)</f>
        <v>0</v>
      </c>
      <c r="AF309" s="35">
        <f>ROUND(IF(AQ309="2",BH309,0),2)</f>
        <v>0</v>
      </c>
      <c r="AG309" s="35">
        <f>ROUND(IF(AQ309="2",BI309,0),2)</f>
        <v>0</v>
      </c>
      <c r="AH309" s="35">
        <f>ROUND(IF(AQ309="0",BJ309,0),2)</f>
        <v>0</v>
      </c>
      <c r="AI309" s="46" t="s">
        <v>90</v>
      </c>
      <c r="AJ309" s="35">
        <f>IF(AN309=0,I309,0)</f>
        <v>0</v>
      </c>
      <c r="AK309" s="35">
        <f>IF(AN309=12,I309,0)</f>
        <v>0</v>
      </c>
      <c r="AL309" s="35">
        <f>IF(AN309=21,I309,0)</f>
        <v>0</v>
      </c>
      <c r="AN309" s="35">
        <v>21</v>
      </c>
      <c r="AO309" s="35">
        <f>H309*0.70299279</f>
        <v>0</v>
      </c>
      <c r="AP309" s="35">
        <f>H309*(1-0.70299279)</f>
        <v>0</v>
      </c>
      <c r="AQ309" s="62" t="s">
        <v>127</v>
      </c>
      <c r="AV309" s="35">
        <f>ROUND(AW309+AX309,2)</f>
        <v>0</v>
      </c>
      <c r="AW309" s="35">
        <f>ROUND(G309*AO309,2)</f>
        <v>0</v>
      </c>
      <c r="AX309" s="35">
        <f>ROUND(G309*AP309,2)</f>
        <v>0</v>
      </c>
      <c r="AY309" s="62" t="s">
        <v>692</v>
      </c>
      <c r="AZ309" s="62" t="s">
        <v>665</v>
      </c>
      <c r="BA309" s="46" t="s">
        <v>634</v>
      </c>
      <c r="BC309" s="35">
        <f>AW309+AX309</f>
        <v>0</v>
      </c>
      <c r="BD309" s="35">
        <f>H309/(100-BE309)*100</f>
        <v>0</v>
      </c>
      <c r="BE309" s="35">
        <v>0</v>
      </c>
      <c r="BF309" s="35">
        <f>309</f>
        <v>309</v>
      </c>
      <c r="BH309" s="35">
        <f>G309*AO309</f>
        <v>0</v>
      </c>
      <c r="BI309" s="35">
        <f>G309*AP309</f>
        <v>0</v>
      </c>
      <c r="BJ309" s="35">
        <f>G309*H309</f>
        <v>0</v>
      </c>
      <c r="BK309" s="62" t="s">
        <v>135</v>
      </c>
      <c r="BL309" s="35">
        <v>27</v>
      </c>
      <c r="BW309" s="35">
        <v>21</v>
      </c>
      <c r="BX309" s="3" t="s">
        <v>708</v>
      </c>
    </row>
    <row r="310" spans="1:76">
      <c r="A310" s="68"/>
      <c r="D310" s="69" t="s">
        <v>709</v>
      </c>
      <c r="E310" s="70" t="s">
        <v>710</v>
      </c>
      <c r="G310" s="71">
        <v>72.072000000000003</v>
      </c>
      <c r="K310" s="51"/>
    </row>
    <row r="311" spans="1:76">
      <c r="A311" s="57" t="s">
        <v>4</v>
      </c>
      <c r="B311" s="58" t="s">
        <v>90</v>
      </c>
      <c r="C311" s="58" t="s">
        <v>250</v>
      </c>
      <c r="D311" s="174" t="s">
        <v>711</v>
      </c>
      <c r="E311" s="175"/>
      <c r="F311" s="59" t="s">
        <v>79</v>
      </c>
      <c r="G311" s="59" t="s">
        <v>79</v>
      </c>
      <c r="H311" s="60" t="s">
        <v>79</v>
      </c>
      <c r="I311" s="40">
        <f>SUM(I312:I322)</f>
        <v>0</v>
      </c>
      <c r="K311" s="51"/>
      <c r="AI311" s="46" t="s">
        <v>90</v>
      </c>
      <c r="AS311" s="40">
        <f>SUM(AJ312:AJ322)</f>
        <v>0</v>
      </c>
      <c r="AT311" s="40">
        <f>SUM(AK312:AK322)</f>
        <v>0</v>
      </c>
      <c r="AU311" s="40">
        <f>SUM(AL312:AL322)</f>
        <v>0</v>
      </c>
    </row>
    <row r="312" spans="1:76">
      <c r="A312" s="1" t="s">
        <v>712</v>
      </c>
      <c r="B312" s="2" t="s">
        <v>90</v>
      </c>
      <c r="C312" s="2" t="s">
        <v>713</v>
      </c>
      <c r="D312" s="92" t="s">
        <v>714</v>
      </c>
      <c r="E312" s="87"/>
      <c r="F312" s="2" t="s">
        <v>321</v>
      </c>
      <c r="G312" s="35">
        <v>200</v>
      </c>
      <c r="H312" s="61">
        <v>0</v>
      </c>
      <c r="I312" s="35">
        <f>ROUND(G312*H312,2)</f>
        <v>0</v>
      </c>
      <c r="K312" s="51"/>
      <c r="Z312" s="35">
        <f>ROUND(IF(AQ312="5",BJ312,0),2)</f>
        <v>0</v>
      </c>
      <c r="AB312" s="35">
        <f>ROUND(IF(AQ312="1",BH312,0),2)</f>
        <v>0</v>
      </c>
      <c r="AC312" s="35">
        <f>ROUND(IF(AQ312="1",BI312,0),2)</f>
        <v>0</v>
      </c>
      <c r="AD312" s="35">
        <f>ROUND(IF(AQ312="7",BH312,0),2)</f>
        <v>0</v>
      </c>
      <c r="AE312" s="35">
        <f>ROUND(IF(AQ312="7",BI312,0),2)</f>
        <v>0</v>
      </c>
      <c r="AF312" s="35">
        <f>ROUND(IF(AQ312="2",BH312,0),2)</f>
        <v>0</v>
      </c>
      <c r="AG312" s="35">
        <f>ROUND(IF(AQ312="2",BI312,0),2)</f>
        <v>0</v>
      </c>
      <c r="AH312" s="35">
        <f>ROUND(IF(AQ312="0",BJ312,0),2)</f>
        <v>0</v>
      </c>
      <c r="AI312" s="46" t="s">
        <v>90</v>
      </c>
      <c r="AJ312" s="35">
        <f>IF(AN312=0,I312,0)</f>
        <v>0</v>
      </c>
      <c r="AK312" s="35">
        <f>IF(AN312=12,I312,0)</f>
        <v>0</v>
      </c>
      <c r="AL312" s="35">
        <f>IF(AN312=21,I312,0)</f>
        <v>0</v>
      </c>
      <c r="AN312" s="35">
        <v>21</v>
      </c>
      <c r="AO312" s="35">
        <f>H312*1</f>
        <v>0</v>
      </c>
      <c r="AP312" s="35">
        <f>H312*(1-1)</f>
        <v>0</v>
      </c>
      <c r="AQ312" s="62" t="s">
        <v>127</v>
      </c>
      <c r="AV312" s="35">
        <f>ROUND(AW312+AX312,2)</f>
        <v>0</v>
      </c>
      <c r="AW312" s="35">
        <f>ROUND(G312*AO312,2)</f>
        <v>0</v>
      </c>
      <c r="AX312" s="35">
        <f>ROUND(G312*AP312,2)</f>
        <v>0</v>
      </c>
      <c r="AY312" s="62" t="s">
        <v>715</v>
      </c>
      <c r="AZ312" s="62" t="s">
        <v>716</v>
      </c>
      <c r="BA312" s="46" t="s">
        <v>634</v>
      </c>
      <c r="BC312" s="35">
        <f>AW312+AX312</f>
        <v>0</v>
      </c>
      <c r="BD312" s="35">
        <f>H312/(100-BE312)*100</f>
        <v>0</v>
      </c>
      <c r="BE312" s="35">
        <v>0</v>
      </c>
      <c r="BF312" s="35">
        <f>312</f>
        <v>312</v>
      </c>
      <c r="BH312" s="35">
        <f>G312*AO312</f>
        <v>0</v>
      </c>
      <c r="BI312" s="35">
        <f>G312*AP312</f>
        <v>0</v>
      </c>
      <c r="BJ312" s="35">
        <f>G312*H312</f>
        <v>0</v>
      </c>
      <c r="BK312" s="62" t="s">
        <v>277</v>
      </c>
      <c r="BL312" s="35">
        <v>32</v>
      </c>
      <c r="BW312" s="35">
        <v>21</v>
      </c>
      <c r="BX312" s="3" t="s">
        <v>714</v>
      </c>
    </row>
    <row r="313" spans="1:76">
      <c r="A313" s="1" t="s">
        <v>217</v>
      </c>
      <c r="B313" s="2" t="s">
        <v>90</v>
      </c>
      <c r="C313" s="2" t="s">
        <v>717</v>
      </c>
      <c r="D313" s="92" t="s">
        <v>718</v>
      </c>
      <c r="E313" s="87"/>
      <c r="F313" s="2" t="s">
        <v>321</v>
      </c>
      <c r="G313" s="35">
        <v>200</v>
      </c>
      <c r="H313" s="61">
        <v>0</v>
      </c>
      <c r="I313" s="35">
        <f>ROUND(G313*H313,2)</f>
        <v>0</v>
      </c>
      <c r="K313" s="51"/>
      <c r="Z313" s="35">
        <f>ROUND(IF(AQ313="5",BJ313,0),2)</f>
        <v>0</v>
      </c>
      <c r="AB313" s="35">
        <f>ROUND(IF(AQ313="1",BH313,0),2)</f>
        <v>0</v>
      </c>
      <c r="AC313" s="35">
        <f>ROUND(IF(AQ313="1",BI313,0),2)</f>
        <v>0</v>
      </c>
      <c r="AD313" s="35">
        <f>ROUND(IF(AQ313="7",BH313,0),2)</f>
        <v>0</v>
      </c>
      <c r="AE313" s="35">
        <f>ROUND(IF(AQ313="7",BI313,0),2)</f>
        <v>0</v>
      </c>
      <c r="AF313" s="35">
        <f>ROUND(IF(AQ313="2",BH313,0),2)</f>
        <v>0</v>
      </c>
      <c r="AG313" s="35">
        <f>ROUND(IF(AQ313="2",BI313,0),2)</f>
        <v>0</v>
      </c>
      <c r="AH313" s="35">
        <f>ROUND(IF(AQ313="0",BJ313,0),2)</f>
        <v>0</v>
      </c>
      <c r="AI313" s="46" t="s">
        <v>90</v>
      </c>
      <c r="AJ313" s="35">
        <f>IF(AN313=0,I313,0)</f>
        <v>0</v>
      </c>
      <c r="AK313" s="35">
        <f>IF(AN313=12,I313,0)</f>
        <v>0</v>
      </c>
      <c r="AL313" s="35">
        <f>IF(AN313=21,I313,0)</f>
        <v>0</v>
      </c>
      <c r="AN313" s="35">
        <v>21</v>
      </c>
      <c r="AO313" s="35">
        <f>H313*0.050742857</f>
        <v>0</v>
      </c>
      <c r="AP313" s="35">
        <f>H313*(1-0.050742857)</f>
        <v>0</v>
      </c>
      <c r="AQ313" s="62" t="s">
        <v>127</v>
      </c>
      <c r="AV313" s="35">
        <f>ROUND(AW313+AX313,2)</f>
        <v>0</v>
      </c>
      <c r="AW313" s="35">
        <f>ROUND(G313*AO313,2)</f>
        <v>0</v>
      </c>
      <c r="AX313" s="35">
        <f>ROUND(G313*AP313,2)</f>
        <v>0</v>
      </c>
      <c r="AY313" s="62" t="s">
        <v>715</v>
      </c>
      <c r="AZ313" s="62" t="s">
        <v>716</v>
      </c>
      <c r="BA313" s="46" t="s">
        <v>634</v>
      </c>
      <c r="BC313" s="35">
        <f>AW313+AX313</f>
        <v>0</v>
      </c>
      <c r="BD313" s="35">
        <f>H313/(100-BE313)*100</f>
        <v>0</v>
      </c>
      <c r="BE313" s="35">
        <v>0</v>
      </c>
      <c r="BF313" s="35">
        <f>313</f>
        <v>313</v>
      </c>
      <c r="BH313" s="35">
        <f>G313*AO313</f>
        <v>0</v>
      </c>
      <c r="BI313" s="35">
        <f>G313*AP313</f>
        <v>0</v>
      </c>
      <c r="BJ313" s="35">
        <f>G313*H313</f>
        <v>0</v>
      </c>
      <c r="BK313" s="62" t="s">
        <v>135</v>
      </c>
      <c r="BL313" s="35">
        <v>32</v>
      </c>
      <c r="BW313" s="35">
        <v>21</v>
      </c>
      <c r="BX313" s="3" t="s">
        <v>718</v>
      </c>
    </row>
    <row r="314" spans="1:76">
      <c r="A314" s="1" t="s">
        <v>719</v>
      </c>
      <c r="B314" s="2" t="s">
        <v>90</v>
      </c>
      <c r="C314" s="2" t="s">
        <v>720</v>
      </c>
      <c r="D314" s="92" t="s">
        <v>721</v>
      </c>
      <c r="E314" s="87"/>
      <c r="F314" s="2" t="s">
        <v>321</v>
      </c>
      <c r="G314" s="35">
        <v>398</v>
      </c>
      <c r="H314" s="61">
        <v>0</v>
      </c>
      <c r="I314" s="35">
        <f>ROUND(G314*H314,2)</f>
        <v>0</v>
      </c>
      <c r="K314" s="51"/>
      <c r="Z314" s="35">
        <f>ROUND(IF(AQ314="5",BJ314,0),2)</f>
        <v>0</v>
      </c>
      <c r="AB314" s="35">
        <f>ROUND(IF(AQ314="1",BH314,0),2)</f>
        <v>0</v>
      </c>
      <c r="AC314" s="35">
        <f>ROUND(IF(AQ314="1",BI314,0),2)</f>
        <v>0</v>
      </c>
      <c r="AD314" s="35">
        <f>ROUND(IF(AQ314="7",BH314,0),2)</f>
        <v>0</v>
      </c>
      <c r="AE314" s="35">
        <f>ROUND(IF(AQ314="7",BI314,0),2)</f>
        <v>0</v>
      </c>
      <c r="AF314" s="35">
        <f>ROUND(IF(AQ314="2",BH314,0),2)</f>
        <v>0</v>
      </c>
      <c r="AG314" s="35">
        <f>ROUND(IF(AQ314="2",BI314,0),2)</f>
        <v>0</v>
      </c>
      <c r="AH314" s="35">
        <f>ROUND(IF(AQ314="0",BJ314,0),2)</f>
        <v>0</v>
      </c>
      <c r="AI314" s="46" t="s">
        <v>90</v>
      </c>
      <c r="AJ314" s="35">
        <f>IF(AN314=0,I314,0)</f>
        <v>0</v>
      </c>
      <c r="AK314" s="35">
        <f>IF(AN314=12,I314,0)</f>
        <v>0</v>
      </c>
      <c r="AL314" s="35">
        <f>IF(AN314=21,I314,0)</f>
        <v>0</v>
      </c>
      <c r="AN314" s="35">
        <v>21</v>
      </c>
      <c r="AO314" s="35">
        <f>H314*0.383852526</f>
        <v>0</v>
      </c>
      <c r="AP314" s="35">
        <f>H314*(1-0.383852526)</f>
        <v>0</v>
      </c>
      <c r="AQ314" s="62" t="s">
        <v>127</v>
      </c>
      <c r="AV314" s="35">
        <f>ROUND(AW314+AX314,2)</f>
        <v>0</v>
      </c>
      <c r="AW314" s="35">
        <f>ROUND(G314*AO314,2)</f>
        <v>0</v>
      </c>
      <c r="AX314" s="35">
        <f>ROUND(G314*AP314,2)</f>
        <v>0</v>
      </c>
      <c r="AY314" s="62" t="s">
        <v>715</v>
      </c>
      <c r="AZ314" s="62" t="s">
        <v>716</v>
      </c>
      <c r="BA314" s="46" t="s">
        <v>634</v>
      </c>
      <c r="BC314" s="35">
        <f>AW314+AX314</f>
        <v>0</v>
      </c>
      <c r="BD314" s="35">
        <f>H314/(100-BE314)*100</f>
        <v>0</v>
      </c>
      <c r="BE314" s="35">
        <v>0</v>
      </c>
      <c r="BF314" s="35">
        <f>314</f>
        <v>314</v>
      </c>
      <c r="BH314" s="35">
        <f>G314*AO314</f>
        <v>0</v>
      </c>
      <c r="BI314" s="35">
        <f>G314*AP314</f>
        <v>0</v>
      </c>
      <c r="BJ314" s="35">
        <f>G314*H314</f>
        <v>0</v>
      </c>
      <c r="BK314" s="62" t="s">
        <v>135</v>
      </c>
      <c r="BL314" s="35">
        <v>32</v>
      </c>
      <c r="BW314" s="35">
        <v>21</v>
      </c>
      <c r="BX314" s="3" t="s">
        <v>721</v>
      </c>
    </row>
    <row r="315" spans="1:76">
      <c r="A315" s="68"/>
      <c r="D315" s="69" t="s">
        <v>722</v>
      </c>
      <c r="E315" s="70" t="s">
        <v>723</v>
      </c>
      <c r="G315" s="71">
        <v>398</v>
      </c>
      <c r="K315" s="51"/>
    </row>
    <row r="316" spans="1:76">
      <c r="A316" s="1" t="s">
        <v>724</v>
      </c>
      <c r="B316" s="2" t="s">
        <v>90</v>
      </c>
      <c r="C316" s="2" t="s">
        <v>725</v>
      </c>
      <c r="D316" s="92" t="s">
        <v>726</v>
      </c>
      <c r="E316" s="87"/>
      <c r="F316" s="2" t="s">
        <v>276</v>
      </c>
      <c r="G316" s="35">
        <v>41.973999999999997</v>
      </c>
      <c r="H316" s="61">
        <v>0</v>
      </c>
      <c r="I316" s="35">
        <f>ROUND(G316*H316,2)</f>
        <v>0</v>
      </c>
      <c r="K316" s="51"/>
      <c r="Z316" s="35">
        <f>ROUND(IF(AQ316="5",BJ316,0),2)</f>
        <v>0</v>
      </c>
      <c r="AB316" s="35">
        <f>ROUND(IF(AQ316="1",BH316,0),2)</f>
        <v>0</v>
      </c>
      <c r="AC316" s="35">
        <f>ROUND(IF(AQ316="1",BI316,0),2)</f>
        <v>0</v>
      </c>
      <c r="AD316" s="35">
        <f>ROUND(IF(AQ316="7",BH316,0),2)</f>
        <v>0</v>
      </c>
      <c r="AE316" s="35">
        <f>ROUND(IF(AQ316="7",BI316,0),2)</f>
        <v>0</v>
      </c>
      <c r="AF316" s="35">
        <f>ROUND(IF(AQ316="2",BH316,0),2)</f>
        <v>0</v>
      </c>
      <c r="AG316" s="35">
        <f>ROUND(IF(AQ316="2",BI316,0),2)</f>
        <v>0</v>
      </c>
      <c r="AH316" s="35">
        <f>ROUND(IF(AQ316="0",BJ316,0),2)</f>
        <v>0</v>
      </c>
      <c r="AI316" s="46" t="s">
        <v>90</v>
      </c>
      <c r="AJ316" s="35">
        <f>IF(AN316=0,I316,0)</f>
        <v>0</v>
      </c>
      <c r="AK316" s="35">
        <f>IF(AN316=12,I316,0)</f>
        <v>0</v>
      </c>
      <c r="AL316" s="35">
        <f>IF(AN316=21,I316,0)</f>
        <v>0</v>
      </c>
      <c r="AN316" s="35">
        <v>21</v>
      </c>
      <c r="AO316" s="35">
        <f>H316*1</f>
        <v>0</v>
      </c>
      <c r="AP316" s="35">
        <f>H316*(1-1)</f>
        <v>0</v>
      </c>
      <c r="AQ316" s="62" t="s">
        <v>127</v>
      </c>
      <c r="AV316" s="35">
        <f>ROUND(AW316+AX316,2)</f>
        <v>0</v>
      </c>
      <c r="AW316" s="35">
        <f>ROUND(G316*AO316,2)</f>
        <v>0</v>
      </c>
      <c r="AX316" s="35">
        <f>ROUND(G316*AP316,2)</f>
        <v>0</v>
      </c>
      <c r="AY316" s="62" t="s">
        <v>715</v>
      </c>
      <c r="AZ316" s="62" t="s">
        <v>716</v>
      </c>
      <c r="BA316" s="46" t="s">
        <v>634</v>
      </c>
      <c r="BC316" s="35">
        <f>AW316+AX316</f>
        <v>0</v>
      </c>
      <c r="BD316" s="35">
        <f>H316/(100-BE316)*100</f>
        <v>0</v>
      </c>
      <c r="BE316" s="35">
        <v>0</v>
      </c>
      <c r="BF316" s="35">
        <f>316</f>
        <v>316</v>
      </c>
      <c r="BH316" s="35">
        <f>G316*AO316</f>
        <v>0</v>
      </c>
      <c r="BI316" s="35">
        <f>G316*AP316</f>
        <v>0</v>
      </c>
      <c r="BJ316" s="35">
        <f>G316*H316</f>
        <v>0</v>
      </c>
      <c r="BK316" s="62" t="s">
        <v>277</v>
      </c>
      <c r="BL316" s="35">
        <v>32</v>
      </c>
      <c r="BW316" s="35">
        <v>21</v>
      </c>
      <c r="BX316" s="3" t="s">
        <v>726</v>
      </c>
    </row>
    <row r="317" spans="1:76">
      <c r="A317" s="68"/>
      <c r="D317" s="69" t="s">
        <v>727</v>
      </c>
      <c r="E317" s="70" t="s">
        <v>728</v>
      </c>
      <c r="G317" s="71">
        <v>40.32</v>
      </c>
      <c r="K317" s="51"/>
    </row>
    <row r="318" spans="1:76">
      <c r="A318" s="68"/>
      <c r="D318" s="69" t="s">
        <v>729</v>
      </c>
      <c r="E318" s="70" t="s">
        <v>730</v>
      </c>
      <c r="G318" s="71">
        <v>1.6539999999999999</v>
      </c>
      <c r="K318" s="51"/>
    </row>
    <row r="319" spans="1:76">
      <c r="A319" s="1" t="s">
        <v>731</v>
      </c>
      <c r="B319" s="2" t="s">
        <v>90</v>
      </c>
      <c r="C319" s="2" t="s">
        <v>732</v>
      </c>
      <c r="D319" s="92" t="s">
        <v>733</v>
      </c>
      <c r="E319" s="87"/>
      <c r="F319" s="2" t="s">
        <v>282</v>
      </c>
      <c r="G319" s="35">
        <v>5.6</v>
      </c>
      <c r="H319" s="61">
        <v>0</v>
      </c>
      <c r="I319" s="35">
        <f>ROUND(G319*H319,2)</f>
        <v>0</v>
      </c>
      <c r="K319" s="51"/>
      <c r="Z319" s="35">
        <f>ROUND(IF(AQ319="5",BJ319,0),2)</f>
        <v>0</v>
      </c>
      <c r="AB319" s="35">
        <f>ROUND(IF(AQ319="1",BH319,0),2)</f>
        <v>0</v>
      </c>
      <c r="AC319" s="35">
        <f>ROUND(IF(AQ319="1",BI319,0),2)</f>
        <v>0</v>
      </c>
      <c r="AD319" s="35">
        <f>ROUND(IF(AQ319="7",BH319,0),2)</f>
        <v>0</v>
      </c>
      <c r="AE319" s="35">
        <f>ROUND(IF(AQ319="7",BI319,0),2)</f>
        <v>0</v>
      </c>
      <c r="AF319" s="35">
        <f>ROUND(IF(AQ319="2",BH319,0),2)</f>
        <v>0</v>
      </c>
      <c r="AG319" s="35">
        <f>ROUND(IF(AQ319="2",BI319,0),2)</f>
        <v>0</v>
      </c>
      <c r="AH319" s="35">
        <f>ROUND(IF(AQ319="0",BJ319,0),2)</f>
        <v>0</v>
      </c>
      <c r="AI319" s="46" t="s">
        <v>90</v>
      </c>
      <c r="AJ319" s="35">
        <f>IF(AN319=0,I319,0)</f>
        <v>0</v>
      </c>
      <c r="AK319" s="35">
        <f>IF(AN319=12,I319,0)</f>
        <v>0</v>
      </c>
      <c r="AL319" s="35">
        <f>IF(AN319=21,I319,0)</f>
        <v>0</v>
      </c>
      <c r="AN319" s="35">
        <v>21</v>
      </c>
      <c r="AO319" s="35">
        <f>H319*0.581274425</f>
        <v>0</v>
      </c>
      <c r="AP319" s="35">
        <f>H319*(1-0.581274425)</f>
        <v>0</v>
      </c>
      <c r="AQ319" s="62" t="s">
        <v>127</v>
      </c>
      <c r="AV319" s="35">
        <f>ROUND(AW319+AX319,2)</f>
        <v>0</v>
      </c>
      <c r="AW319" s="35">
        <f>ROUND(G319*AO319,2)</f>
        <v>0</v>
      </c>
      <c r="AX319" s="35">
        <f>ROUND(G319*AP319,2)</f>
        <v>0</v>
      </c>
      <c r="AY319" s="62" t="s">
        <v>715</v>
      </c>
      <c r="AZ319" s="62" t="s">
        <v>716</v>
      </c>
      <c r="BA319" s="46" t="s">
        <v>634</v>
      </c>
      <c r="BC319" s="35">
        <f>AW319+AX319</f>
        <v>0</v>
      </c>
      <c r="BD319" s="35">
        <f>H319/(100-BE319)*100</f>
        <v>0</v>
      </c>
      <c r="BE319" s="35">
        <v>0</v>
      </c>
      <c r="BF319" s="35">
        <f>319</f>
        <v>319</v>
      </c>
      <c r="BH319" s="35">
        <f>G319*AO319</f>
        <v>0</v>
      </c>
      <c r="BI319" s="35">
        <f>G319*AP319</f>
        <v>0</v>
      </c>
      <c r="BJ319" s="35">
        <f>G319*H319</f>
        <v>0</v>
      </c>
      <c r="BK319" s="62" t="s">
        <v>135</v>
      </c>
      <c r="BL319" s="35">
        <v>32</v>
      </c>
      <c r="BW319" s="35">
        <v>21</v>
      </c>
      <c r="BX319" s="3" t="s">
        <v>733</v>
      </c>
    </row>
    <row r="320" spans="1:76" ht="13.5" customHeight="1">
      <c r="A320" s="68"/>
      <c r="C320" s="72" t="s">
        <v>337</v>
      </c>
      <c r="D320" s="178" t="s">
        <v>734</v>
      </c>
      <c r="E320" s="179"/>
      <c r="F320" s="179"/>
      <c r="G320" s="179"/>
      <c r="H320" s="180"/>
      <c r="I320" s="179"/>
      <c r="J320" s="179"/>
      <c r="K320" s="181"/>
    </row>
    <row r="321" spans="1:76">
      <c r="A321" s="68"/>
      <c r="D321" s="69" t="s">
        <v>735</v>
      </c>
      <c r="E321" s="70" t="s">
        <v>4</v>
      </c>
      <c r="G321" s="71">
        <v>5.6</v>
      </c>
      <c r="K321" s="51"/>
    </row>
    <row r="322" spans="1:76">
      <c r="A322" s="1" t="s">
        <v>736</v>
      </c>
      <c r="B322" s="2" t="s">
        <v>90</v>
      </c>
      <c r="C322" s="2" t="s">
        <v>737</v>
      </c>
      <c r="D322" s="92" t="s">
        <v>738</v>
      </c>
      <c r="E322" s="87"/>
      <c r="F322" s="2" t="s">
        <v>282</v>
      </c>
      <c r="G322" s="35">
        <v>0.3</v>
      </c>
      <c r="H322" s="61">
        <v>0</v>
      </c>
      <c r="I322" s="35">
        <f>ROUND(G322*H322,2)</f>
        <v>0</v>
      </c>
      <c r="K322" s="51"/>
      <c r="Z322" s="35">
        <f>ROUND(IF(AQ322="5",BJ322,0),2)</f>
        <v>0</v>
      </c>
      <c r="AB322" s="35">
        <f>ROUND(IF(AQ322="1",BH322,0),2)</f>
        <v>0</v>
      </c>
      <c r="AC322" s="35">
        <f>ROUND(IF(AQ322="1",BI322,0),2)</f>
        <v>0</v>
      </c>
      <c r="AD322" s="35">
        <f>ROUND(IF(AQ322="7",BH322,0),2)</f>
        <v>0</v>
      </c>
      <c r="AE322" s="35">
        <f>ROUND(IF(AQ322="7",BI322,0),2)</f>
        <v>0</v>
      </c>
      <c r="AF322" s="35">
        <f>ROUND(IF(AQ322="2",BH322,0),2)</f>
        <v>0</v>
      </c>
      <c r="AG322" s="35">
        <f>ROUND(IF(AQ322="2",BI322,0),2)</f>
        <v>0</v>
      </c>
      <c r="AH322" s="35">
        <f>ROUND(IF(AQ322="0",BJ322,0),2)</f>
        <v>0</v>
      </c>
      <c r="AI322" s="46" t="s">
        <v>90</v>
      </c>
      <c r="AJ322" s="35">
        <f>IF(AN322=0,I322,0)</f>
        <v>0</v>
      </c>
      <c r="AK322" s="35">
        <f>IF(AN322=12,I322,0)</f>
        <v>0</v>
      </c>
      <c r="AL322" s="35">
        <f>IF(AN322=21,I322,0)</f>
        <v>0</v>
      </c>
      <c r="AN322" s="35">
        <v>21</v>
      </c>
      <c r="AO322" s="35">
        <f>H322*0.331615599</f>
        <v>0</v>
      </c>
      <c r="AP322" s="35">
        <f>H322*(1-0.331615599)</f>
        <v>0</v>
      </c>
      <c r="AQ322" s="62" t="s">
        <v>127</v>
      </c>
      <c r="AV322" s="35">
        <f>ROUND(AW322+AX322,2)</f>
        <v>0</v>
      </c>
      <c r="AW322" s="35">
        <f>ROUND(G322*AO322,2)</f>
        <v>0</v>
      </c>
      <c r="AX322" s="35">
        <f>ROUND(G322*AP322,2)</f>
        <v>0</v>
      </c>
      <c r="AY322" s="62" t="s">
        <v>715</v>
      </c>
      <c r="AZ322" s="62" t="s">
        <v>716</v>
      </c>
      <c r="BA322" s="46" t="s">
        <v>634</v>
      </c>
      <c r="BC322" s="35">
        <f>AW322+AX322</f>
        <v>0</v>
      </c>
      <c r="BD322" s="35">
        <f>H322/(100-BE322)*100</f>
        <v>0</v>
      </c>
      <c r="BE322" s="35">
        <v>0</v>
      </c>
      <c r="BF322" s="35">
        <f>322</f>
        <v>322</v>
      </c>
      <c r="BH322" s="35">
        <f>G322*AO322</f>
        <v>0</v>
      </c>
      <c r="BI322" s="35">
        <f>G322*AP322</f>
        <v>0</v>
      </c>
      <c r="BJ322" s="35">
        <f>G322*H322</f>
        <v>0</v>
      </c>
      <c r="BK322" s="62" t="s">
        <v>135</v>
      </c>
      <c r="BL322" s="35">
        <v>32</v>
      </c>
      <c r="BW322" s="35">
        <v>21</v>
      </c>
      <c r="BX322" s="3" t="s">
        <v>738</v>
      </c>
    </row>
    <row r="323" spans="1:76">
      <c r="A323" s="68"/>
      <c r="D323" s="69" t="s">
        <v>739</v>
      </c>
      <c r="E323" s="70" t="s">
        <v>740</v>
      </c>
      <c r="G323" s="71">
        <v>0.3</v>
      </c>
      <c r="K323" s="51"/>
    </row>
    <row r="324" spans="1:76">
      <c r="A324" s="57" t="s">
        <v>4</v>
      </c>
      <c r="B324" s="58" t="s">
        <v>90</v>
      </c>
      <c r="C324" s="58" t="s">
        <v>349</v>
      </c>
      <c r="D324" s="174" t="s">
        <v>350</v>
      </c>
      <c r="E324" s="175"/>
      <c r="F324" s="59" t="s">
        <v>79</v>
      </c>
      <c r="G324" s="59" t="s">
        <v>79</v>
      </c>
      <c r="H324" s="60" t="s">
        <v>79</v>
      </c>
      <c r="I324" s="40">
        <f>SUM(I325:I327)</f>
        <v>0</v>
      </c>
      <c r="K324" s="51"/>
      <c r="AI324" s="46" t="s">
        <v>90</v>
      </c>
      <c r="AS324" s="40">
        <f>SUM(AJ325:AJ327)</f>
        <v>0</v>
      </c>
      <c r="AT324" s="40">
        <f>SUM(AK325:AK327)</f>
        <v>0</v>
      </c>
      <c r="AU324" s="40">
        <f>SUM(AL325:AL327)</f>
        <v>0</v>
      </c>
    </row>
    <row r="325" spans="1:76">
      <c r="A325" s="1" t="s">
        <v>741</v>
      </c>
      <c r="B325" s="2" t="s">
        <v>90</v>
      </c>
      <c r="C325" s="2" t="s">
        <v>742</v>
      </c>
      <c r="D325" s="92" t="s">
        <v>743</v>
      </c>
      <c r="E325" s="87"/>
      <c r="F325" s="2" t="s">
        <v>192</v>
      </c>
      <c r="G325" s="35">
        <v>0.57599999999999996</v>
      </c>
      <c r="H325" s="61">
        <v>0</v>
      </c>
      <c r="I325" s="35">
        <f>ROUND(G325*H325,2)</f>
        <v>0</v>
      </c>
      <c r="K325" s="51"/>
      <c r="Z325" s="35">
        <f>ROUND(IF(AQ325="5",BJ325,0),2)</f>
        <v>0</v>
      </c>
      <c r="AB325" s="35">
        <f>ROUND(IF(AQ325="1",BH325,0),2)</f>
        <v>0</v>
      </c>
      <c r="AC325" s="35">
        <f>ROUND(IF(AQ325="1",BI325,0),2)</f>
        <v>0</v>
      </c>
      <c r="AD325" s="35">
        <f>ROUND(IF(AQ325="7",BH325,0),2)</f>
        <v>0</v>
      </c>
      <c r="AE325" s="35">
        <f>ROUND(IF(AQ325="7",BI325,0),2)</f>
        <v>0</v>
      </c>
      <c r="AF325" s="35">
        <f>ROUND(IF(AQ325="2",BH325,0),2)</f>
        <v>0</v>
      </c>
      <c r="AG325" s="35">
        <f>ROUND(IF(AQ325="2",BI325,0),2)</f>
        <v>0</v>
      </c>
      <c r="AH325" s="35">
        <f>ROUND(IF(AQ325="0",BJ325,0),2)</f>
        <v>0</v>
      </c>
      <c r="AI325" s="46" t="s">
        <v>90</v>
      </c>
      <c r="AJ325" s="35">
        <f>IF(AN325=0,I325,0)</f>
        <v>0</v>
      </c>
      <c r="AK325" s="35">
        <f>IF(AN325=12,I325,0)</f>
        <v>0</v>
      </c>
      <c r="AL325" s="35">
        <f>IF(AN325=21,I325,0)</f>
        <v>0</v>
      </c>
      <c r="AN325" s="35">
        <v>21</v>
      </c>
      <c r="AO325" s="35">
        <f>H325*1</f>
        <v>0</v>
      </c>
      <c r="AP325" s="35">
        <f>H325*(1-1)</f>
        <v>0</v>
      </c>
      <c r="AQ325" s="62" t="s">
        <v>127</v>
      </c>
      <c r="AV325" s="35">
        <f>ROUND(AW325+AX325,2)</f>
        <v>0</v>
      </c>
      <c r="AW325" s="35">
        <f>ROUND(G325*AO325,2)</f>
        <v>0</v>
      </c>
      <c r="AX325" s="35">
        <f>ROUND(G325*AP325,2)</f>
        <v>0</v>
      </c>
      <c r="AY325" s="62" t="s">
        <v>354</v>
      </c>
      <c r="AZ325" s="62" t="s">
        <v>744</v>
      </c>
      <c r="BA325" s="46" t="s">
        <v>634</v>
      </c>
      <c r="BC325" s="35">
        <f>AW325+AX325</f>
        <v>0</v>
      </c>
      <c r="BD325" s="35">
        <f>H325/(100-BE325)*100</f>
        <v>0</v>
      </c>
      <c r="BE325" s="35">
        <v>0</v>
      </c>
      <c r="BF325" s="35">
        <f>325</f>
        <v>325</v>
      </c>
      <c r="BH325" s="35">
        <f>G325*AO325</f>
        <v>0</v>
      </c>
      <c r="BI325" s="35">
        <f>G325*AP325</f>
        <v>0</v>
      </c>
      <c r="BJ325" s="35">
        <f>G325*H325</f>
        <v>0</v>
      </c>
      <c r="BK325" s="62" t="s">
        <v>277</v>
      </c>
      <c r="BL325" s="35">
        <v>59</v>
      </c>
      <c r="BW325" s="35">
        <v>21</v>
      </c>
      <c r="BX325" s="3" t="s">
        <v>743</v>
      </c>
    </row>
    <row r="326" spans="1:76">
      <c r="A326" s="68"/>
      <c r="D326" s="69" t="s">
        <v>745</v>
      </c>
      <c r="E326" s="70" t="s">
        <v>4</v>
      </c>
      <c r="G326" s="71">
        <v>0.57599999999999996</v>
      </c>
      <c r="K326" s="51"/>
    </row>
    <row r="327" spans="1:76">
      <c r="A327" s="1" t="s">
        <v>746</v>
      </c>
      <c r="B327" s="2" t="s">
        <v>90</v>
      </c>
      <c r="C327" s="2" t="s">
        <v>747</v>
      </c>
      <c r="D327" s="92" t="s">
        <v>748</v>
      </c>
      <c r="E327" s="87"/>
      <c r="F327" s="2" t="s">
        <v>192</v>
      </c>
      <c r="G327" s="35">
        <v>0.48</v>
      </c>
      <c r="H327" s="61">
        <v>0</v>
      </c>
      <c r="I327" s="35">
        <f>ROUND(G327*H327,2)</f>
        <v>0</v>
      </c>
      <c r="K327" s="51"/>
      <c r="Z327" s="35">
        <f>ROUND(IF(AQ327="5",BJ327,0),2)</f>
        <v>0</v>
      </c>
      <c r="AB327" s="35">
        <f>ROUND(IF(AQ327="1",BH327,0),2)</f>
        <v>0</v>
      </c>
      <c r="AC327" s="35">
        <f>ROUND(IF(AQ327="1",BI327,0),2)</f>
        <v>0</v>
      </c>
      <c r="AD327" s="35">
        <f>ROUND(IF(AQ327="7",BH327,0),2)</f>
        <v>0</v>
      </c>
      <c r="AE327" s="35">
        <f>ROUND(IF(AQ327="7",BI327,0),2)</f>
        <v>0</v>
      </c>
      <c r="AF327" s="35">
        <f>ROUND(IF(AQ327="2",BH327,0),2)</f>
        <v>0</v>
      </c>
      <c r="AG327" s="35">
        <f>ROUND(IF(AQ327="2",BI327,0),2)</f>
        <v>0</v>
      </c>
      <c r="AH327" s="35">
        <f>ROUND(IF(AQ327="0",BJ327,0),2)</f>
        <v>0</v>
      </c>
      <c r="AI327" s="46" t="s">
        <v>90</v>
      </c>
      <c r="AJ327" s="35">
        <f>IF(AN327=0,I327,0)</f>
        <v>0</v>
      </c>
      <c r="AK327" s="35">
        <f>IF(AN327=12,I327,0)</f>
        <v>0</v>
      </c>
      <c r="AL327" s="35">
        <f>IF(AN327=21,I327,0)</f>
        <v>0</v>
      </c>
      <c r="AN327" s="35">
        <v>21</v>
      </c>
      <c r="AO327" s="35">
        <f>H327*0.536129671</f>
        <v>0</v>
      </c>
      <c r="AP327" s="35">
        <f>H327*(1-0.536129671)</f>
        <v>0</v>
      </c>
      <c r="AQ327" s="62" t="s">
        <v>127</v>
      </c>
      <c r="AV327" s="35">
        <f>ROUND(AW327+AX327,2)</f>
        <v>0</v>
      </c>
      <c r="AW327" s="35">
        <f>ROUND(G327*AO327,2)</f>
        <v>0</v>
      </c>
      <c r="AX327" s="35">
        <f>ROUND(G327*AP327,2)</f>
        <v>0</v>
      </c>
      <c r="AY327" s="62" t="s">
        <v>354</v>
      </c>
      <c r="AZ327" s="62" t="s">
        <v>744</v>
      </c>
      <c r="BA327" s="46" t="s">
        <v>634</v>
      </c>
      <c r="BC327" s="35">
        <f>AW327+AX327</f>
        <v>0</v>
      </c>
      <c r="BD327" s="35">
        <f>H327/(100-BE327)*100</f>
        <v>0</v>
      </c>
      <c r="BE327" s="35">
        <v>0</v>
      </c>
      <c r="BF327" s="35">
        <f>327</f>
        <v>327</v>
      </c>
      <c r="BH327" s="35">
        <f>G327*AO327</f>
        <v>0</v>
      </c>
      <c r="BI327" s="35">
        <f>G327*AP327</f>
        <v>0</v>
      </c>
      <c r="BJ327" s="35">
        <f>G327*H327</f>
        <v>0</v>
      </c>
      <c r="BK327" s="62" t="s">
        <v>135</v>
      </c>
      <c r="BL327" s="35">
        <v>59</v>
      </c>
      <c r="BW327" s="35">
        <v>21</v>
      </c>
      <c r="BX327" s="3" t="s">
        <v>748</v>
      </c>
    </row>
    <row r="328" spans="1:76">
      <c r="A328" s="68"/>
      <c r="D328" s="69" t="s">
        <v>749</v>
      </c>
      <c r="E328" s="70" t="s">
        <v>750</v>
      </c>
      <c r="G328" s="71">
        <v>0.48</v>
      </c>
      <c r="K328" s="51"/>
    </row>
    <row r="329" spans="1:76">
      <c r="A329" s="57" t="s">
        <v>4</v>
      </c>
      <c r="B329" s="58" t="s">
        <v>90</v>
      </c>
      <c r="C329" s="58" t="s">
        <v>131</v>
      </c>
      <c r="D329" s="174" t="s">
        <v>557</v>
      </c>
      <c r="E329" s="175"/>
      <c r="F329" s="59" t="s">
        <v>79</v>
      </c>
      <c r="G329" s="59" t="s">
        <v>79</v>
      </c>
      <c r="H329" s="60" t="s">
        <v>79</v>
      </c>
      <c r="I329" s="40">
        <f>SUM(I330:I330)</f>
        <v>0</v>
      </c>
      <c r="K329" s="51"/>
      <c r="AI329" s="46" t="s">
        <v>90</v>
      </c>
      <c r="AS329" s="40">
        <f>SUM(AJ330:AJ330)</f>
        <v>0</v>
      </c>
      <c r="AT329" s="40">
        <f>SUM(AK330:AK330)</f>
        <v>0</v>
      </c>
      <c r="AU329" s="40">
        <f>SUM(AL330:AL330)</f>
        <v>0</v>
      </c>
    </row>
    <row r="330" spans="1:76">
      <c r="A330" s="1" t="s">
        <v>751</v>
      </c>
      <c r="B330" s="2" t="s">
        <v>90</v>
      </c>
      <c r="C330" s="2" t="s">
        <v>752</v>
      </c>
      <c r="D330" s="92" t="s">
        <v>753</v>
      </c>
      <c r="E330" s="87"/>
      <c r="F330" s="2" t="s">
        <v>206</v>
      </c>
      <c r="G330" s="35">
        <v>230.48099999999999</v>
      </c>
      <c r="H330" s="61">
        <v>0</v>
      </c>
      <c r="I330" s="35">
        <f>ROUND(G330*H330,2)</f>
        <v>0</v>
      </c>
      <c r="K330" s="51"/>
      <c r="Z330" s="35">
        <f>ROUND(IF(AQ330="5",BJ330,0),2)</f>
        <v>0</v>
      </c>
      <c r="AB330" s="35">
        <f>ROUND(IF(AQ330="1",BH330,0),2)</f>
        <v>0</v>
      </c>
      <c r="AC330" s="35">
        <f>ROUND(IF(AQ330="1",BI330,0),2)</f>
        <v>0</v>
      </c>
      <c r="AD330" s="35">
        <f>ROUND(IF(AQ330="7",BH330,0),2)</f>
        <v>0</v>
      </c>
      <c r="AE330" s="35">
        <f>ROUND(IF(AQ330="7",BI330,0),2)</f>
        <v>0</v>
      </c>
      <c r="AF330" s="35">
        <f>ROUND(IF(AQ330="2",BH330,0),2)</f>
        <v>0</v>
      </c>
      <c r="AG330" s="35">
        <f>ROUND(IF(AQ330="2",BI330,0),2)</f>
        <v>0</v>
      </c>
      <c r="AH330" s="35">
        <f>ROUND(IF(AQ330="0",BJ330,0),2)</f>
        <v>0</v>
      </c>
      <c r="AI330" s="46" t="s">
        <v>90</v>
      </c>
      <c r="AJ330" s="35">
        <f>IF(AN330=0,I330,0)</f>
        <v>0</v>
      </c>
      <c r="AK330" s="35">
        <f>IF(AN330=12,I330,0)</f>
        <v>0</v>
      </c>
      <c r="AL330" s="35">
        <f>IF(AN330=21,I330,0)</f>
        <v>0</v>
      </c>
      <c r="AN330" s="35">
        <v>21</v>
      </c>
      <c r="AO330" s="35">
        <f>H330*0</f>
        <v>0</v>
      </c>
      <c r="AP330" s="35">
        <f>H330*(1-0)</f>
        <v>0</v>
      </c>
      <c r="AQ330" s="62" t="s">
        <v>145</v>
      </c>
      <c r="AV330" s="35">
        <f>ROUND(AW330+AX330,2)</f>
        <v>0</v>
      </c>
      <c r="AW330" s="35">
        <f>ROUND(G330*AO330,2)</f>
        <v>0</v>
      </c>
      <c r="AX330" s="35">
        <f>ROUND(G330*AP330,2)</f>
        <v>0</v>
      </c>
      <c r="AY330" s="62" t="s">
        <v>561</v>
      </c>
      <c r="AZ330" s="62" t="s">
        <v>754</v>
      </c>
      <c r="BA330" s="46" t="s">
        <v>634</v>
      </c>
      <c r="BC330" s="35">
        <f>AW330+AX330</f>
        <v>0</v>
      </c>
      <c r="BD330" s="35">
        <f>H330/(100-BE330)*100</f>
        <v>0</v>
      </c>
      <c r="BE330" s="35">
        <v>0</v>
      </c>
      <c r="BF330" s="35">
        <f>330</f>
        <v>330</v>
      </c>
      <c r="BH330" s="35">
        <f>G330*AO330</f>
        <v>0</v>
      </c>
      <c r="BI330" s="35">
        <f>G330*AP330</f>
        <v>0</v>
      </c>
      <c r="BJ330" s="35">
        <f>G330*H330</f>
        <v>0</v>
      </c>
      <c r="BK330" s="62" t="s">
        <v>135</v>
      </c>
      <c r="BL330" s="35">
        <v>99</v>
      </c>
      <c r="BW330" s="35">
        <v>21</v>
      </c>
      <c r="BX330" s="3" t="s">
        <v>753</v>
      </c>
    </row>
    <row r="331" spans="1:76">
      <c r="A331" s="57" t="s">
        <v>4</v>
      </c>
      <c r="B331" s="58" t="s">
        <v>90</v>
      </c>
      <c r="C331" s="58" t="s">
        <v>562</v>
      </c>
      <c r="D331" s="174" t="s">
        <v>563</v>
      </c>
      <c r="E331" s="175"/>
      <c r="F331" s="59" t="s">
        <v>79</v>
      </c>
      <c r="G331" s="59" t="s">
        <v>79</v>
      </c>
      <c r="H331" s="60" t="s">
        <v>79</v>
      </c>
      <c r="I331" s="40">
        <f>SUM(I332:I339)</f>
        <v>0</v>
      </c>
      <c r="K331" s="51"/>
      <c r="AI331" s="46" t="s">
        <v>90</v>
      </c>
      <c r="AS331" s="40">
        <f>SUM(AJ332:AJ339)</f>
        <v>0</v>
      </c>
      <c r="AT331" s="40">
        <f>SUM(AK332:AK339)</f>
        <v>0</v>
      </c>
      <c r="AU331" s="40">
        <f>SUM(AL332:AL339)</f>
        <v>0</v>
      </c>
    </row>
    <row r="332" spans="1:76">
      <c r="A332" s="1" t="s">
        <v>755</v>
      </c>
      <c r="B332" s="2" t="s">
        <v>90</v>
      </c>
      <c r="C332" s="2" t="s">
        <v>565</v>
      </c>
      <c r="D332" s="92" t="s">
        <v>566</v>
      </c>
      <c r="E332" s="87"/>
      <c r="F332" s="2" t="s">
        <v>192</v>
      </c>
      <c r="G332" s="35">
        <v>70</v>
      </c>
      <c r="H332" s="61">
        <v>0</v>
      </c>
      <c r="I332" s="35">
        <f>ROUND(G332*H332,2)</f>
        <v>0</v>
      </c>
      <c r="K332" s="51"/>
      <c r="Z332" s="35">
        <f>ROUND(IF(AQ332="5",BJ332,0),2)</f>
        <v>0</v>
      </c>
      <c r="AB332" s="35">
        <f>ROUND(IF(AQ332="1",BH332,0),2)</f>
        <v>0</v>
      </c>
      <c r="AC332" s="35">
        <f>ROUND(IF(AQ332="1",BI332,0),2)</f>
        <v>0</v>
      </c>
      <c r="AD332" s="35">
        <f>ROUND(IF(AQ332="7",BH332,0),2)</f>
        <v>0</v>
      </c>
      <c r="AE332" s="35">
        <f>ROUND(IF(AQ332="7",BI332,0),2)</f>
        <v>0</v>
      </c>
      <c r="AF332" s="35">
        <f>ROUND(IF(AQ332="2",BH332,0),2)</f>
        <v>0</v>
      </c>
      <c r="AG332" s="35">
        <f>ROUND(IF(AQ332="2",BI332,0),2)</f>
        <v>0</v>
      </c>
      <c r="AH332" s="35">
        <f>ROUND(IF(AQ332="0",BJ332,0),2)</f>
        <v>0</v>
      </c>
      <c r="AI332" s="46" t="s">
        <v>90</v>
      </c>
      <c r="AJ332" s="35">
        <f>IF(AN332=0,I332,0)</f>
        <v>0</v>
      </c>
      <c r="AK332" s="35">
        <f>IF(AN332=12,I332,0)</f>
        <v>0</v>
      </c>
      <c r="AL332" s="35">
        <f>IF(AN332=21,I332,0)</f>
        <v>0</v>
      </c>
      <c r="AN332" s="35">
        <v>21</v>
      </c>
      <c r="AO332" s="35">
        <f>H332*0</f>
        <v>0</v>
      </c>
      <c r="AP332" s="35">
        <f>H332*(1-0)</f>
        <v>0</v>
      </c>
      <c r="AQ332" s="62" t="s">
        <v>151</v>
      </c>
      <c r="AV332" s="35">
        <f>ROUND(AW332+AX332,2)</f>
        <v>0</v>
      </c>
      <c r="AW332" s="35">
        <f>ROUND(G332*AO332,2)</f>
        <v>0</v>
      </c>
      <c r="AX332" s="35">
        <f>ROUND(G332*AP332,2)</f>
        <v>0</v>
      </c>
      <c r="AY332" s="62" t="s">
        <v>567</v>
      </c>
      <c r="AZ332" s="62" t="s">
        <v>756</v>
      </c>
      <c r="BA332" s="46" t="s">
        <v>634</v>
      </c>
      <c r="BC332" s="35">
        <f>AW332+AX332</f>
        <v>0</v>
      </c>
      <c r="BD332" s="35">
        <f>H332/(100-BE332)*100</f>
        <v>0</v>
      </c>
      <c r="BE332" s="35">
        <v>0</v>
      </c>
      <c r="BF332" s="35">
        <f>332</f>
        <v>332</v>
      </c>
      <c r="BH332" s="35">
        <f>G332*AO332</f>
        <v>0</v>
      </c>
      <c r="BI332" s="35">
        <f>G332*AP332</f>
        <v>0</v>
      </c>
      <c r="BJ332" s="35">
        <f>G332*H332</f>
        <v>0</v>
      </c>
      <c r="BK332" s="62" t="s">
        <v>135</v>
      </c>
      <c r="BL332" s="35">
        <v>711</v>
      </c>
      <c r="BW332" s="35">
        <v>21</v>
      </c>
      <c r="BX332" s="3" t="s">
        <v>566</v>
      </c>
    </row>
    <row r="333" spans="1:76" ht="13.5" customHeight="1">
      <c r="A333" s="68"/>
      <c r="C333" s="72" t="s">
        <v>337</v>
      </c>
      <c r="D333" s="178" t="s">
        <v>569</v>
      </c>
      <c r="E333" s="179"/>
      <c r="F333" s="179"/>
      <c r="G333" s="179"/>
      <c r="H333" s="180"/>
      <c r="I333" s="179"/>
      <c r="J333" s="179"/>
      <c r="K333" s="181"/>
    </row>
    <row r="334" spans="1:76">
      <c r="A334" s="68"/>
      <c r="D334" s="69" t="s">
        <v>424</v>
      </c>
      <c r="E334" s="70" t="s">
        <v>757</v>
      </c>
      <c r="G334" s="71">
        <v>70</v>
      </c>
      <c r="K334" s="51"/>
    </row>
    <row r="335" spans="1:76">
      <c r="A335" s="1" t="s">
        <v>758</v>
      </c>
      <c r="B335" s="2" t="s">
        <v>90</v>
      </c>
      <c r="C335" s="2" t="s">
        <v>572</v>
      </c>
      <c r="D335" s="92" t="s">
        <v>573</v>
      </c>
      <c r="E335" s="87"/>
      <c r="F335" s="2" t="s">
        <v>192</v>
      </c>
      <c r="G335" s="35">
        <v>80.5</v>
      </c>
      <c r="H335" s="61">
        <v>0</v>
      </c>
      <c r="I335" s="35">
        <f>ROUND(G335*H335,2)</f>
        <v>0</v>
      </c>
      <c r="K335" s="51"/>
      <c r="Z335" s="35">
        <f>ROUND(IF(AQ335="5",BJ335,0),2)</f>
        <v>0</v>
      </c>
      <c r="AB335" s="35">
        <f>ROUND(IF(AQ335="1",BH335,0),2)</f>
        <v>0</v>
      </c>
      <c r="AC335" s="35">
        <f>ROUND(IF(AQ335="1",BI335,0),2)</f>
        <v>0</v>
      </c>
      <c r="AD335" s="35">
        <f>ROUND(IF(AQ335="7",BH335,0),2)</f>
        <v>0</v>
      </c>
      <c r="AE335" s="35">
        <f>ROUND(IF(AQ335="7",BI335,0),2)</f>
        <v>0</v>
      </c>
      <c r="AF335" s="35">
        <f>ROUND(IF(AQ335="2",BH335,0),2)</f>
        <v>0</v>
      </c>
      <c r="AG335" s="35">
        <f>ROUND(IF(AQ335="2",BI335,0),2)</f>
        <v>0</v>
      </c>
      <c r="AH335" s="35">
        <f>ROUND(IF(AQ335="0",BJ335,0),2)</f>
        <v>0</v>
      </c>
      <c r="AI335" s="46" t="s">
        <v>90</v>
      </c>
      <c r="AJ335" s="35">
        <f>IF(AN335=0,I335,0)</f>
        <v>0</v>
      </c>
      <c r="AK335" s="35">
        <f>IF(AN335=12,I335,0)</f>
        <v>0</v>
      </c>
      <c r="AL335" s="35">
        <f>IF(AN335=21,I335,0)</f>
        <v>0</v>
      </c>
      <c r="AN335" s="35">
        <v>21</v>
      </c>
      <c r="AO335" s="35">
        <f>H335*1</f>
        <v>0</v>
      </c>
      <c r="AP335" s="35">
        <f>H335*(1-1)</f>
        <v>0</v>
      </c>
      <c r="AQ335" s="62" t="s">
        <v>151</v>
      </c>
      <c r="AV335" s="35">
        <f>ROUND(AW335+AX335,2)</f>
        <v>0</v>
      </c>
      <c r="AW335" s="35">
        <f>ROUND(G335*AO335,2)</f>
        <v>0</v>
      </c>
      <c r="AX335" s="35">
        <f>ROUND(G335*AP335,2)</f>
        <v>0</v>
      </c>
      <c r="AY335" s="62" t="s">
        <v>567</v>
      </c>
      <c r="AZ335" s="62" t="s">
        <v>756</v>
      </c>
      <c r="BA335" s="46" t="s">
        <v>634</v>
      </c>
      <c r="BC335" s="35">
        <f>AW335+AX335</f>
        <v>0</v>
      </c>
      <c r="BD335" s="35">
        <f>H335/(100-BE335)*100</f>
        <v>0</v>
      </c>
      <c r="BE335" s="35">
        <v>0</v>
      </c>
      <c r="BF335" s="35">
        <f>335</f>
        <v>335</v>
      </c>
      <c r="BH335" s="35">
        <f>G335*AO335</f>
        <v>0</v>
      </c>
      <c r="BI335" s="35">
        <f>G335*AP335</f>
        <v>0</v>
      </c>
      <c r="BJ335" s="35">
        <f>G335*H335</f>
        <v>0</v>
      </c>
      <c r="BK335" s="62" t="s">
        <v>277</v>
      </c>
      <c r="BL335" s="35">
        <v>711</v>
      </c>
      <c r="BW335" s="35">
        <v>21</v>
      </c>
      <c r="BX335" s="3" t="s">
        <v>573</v>
      </c>
    </row>
    <row r="336" spans="1:76">
      <c r="A336" s="68"/>
      <c r="D336" s="69" t="s">
        <v>759</v>
      </c>
      <c r="E336" s="70" t="s">
        <v>4</v>
      </c>
      <c r="G336" s="71">
        <v>80.5</v>
      </c>
      <c r="K336" s="51"/>
    </row>
    <row r="337" spans="1:76">
      <c r="A337" s="1" t="s">
        <v>760</v>
      </c>
      <c r="B337" s="2" t="s">
        <v>90</v>
      </c>
      <c r="C337" s="2" t="s">
        <v>761</v>
      </c>
      <c r="D337" s="92" t="s">
        <v>762</v>
      </c>
      <c r="E337" s="87"/>
      <c r="F337" s="2" t="s">
        <v>192</v>
      </c>
      <c r="G337" s="35">
        <v>0.224</v>
      </c>
      <c r="H337" s="61">
        <v>0</v>
      </c>
      <c r="I337" s="35">
        <f>ROUND(G337*H337,2)</f>
        <v>0</v>
      </c>
      <c r="K337" s="51"/>
      <c r="Z337" s="35">
        <f>ROUND(IF(AQ337="5",BJ337,0),2)</f>
        <v>0</v>
      </c>
      <c r="AB337" s="35">
        <f>ROUND(IF(AQ337="1",BH337,0),2)</f>
        <v>0</v>
      </c>
      <c r="AC337" s="35">
        <f>ROUND(IF(AQ337="1",BI337,0),2)</f>
        <v>0</v>
      </c>
      <c r="AD337" s="35">
        <f>ROUND(IF(AQ337="7",BH337,0),2)</f>
        <v>0</v>
      </c>
      <c r="AE337" s="35">
        <f>ROUND(IF(AQ337="7",BI337,0),2)</f>
        <v>0</v>
      </c>
      <c r="AF337" s="35">
        <f>ROUND(IF(AQ337="2",BH337,0),2)</f>
        <v>0</v>
      </c>
      <c r="AG337" s="35">
        <f>ROUND(IF(AQ337="2",BI337,0),2)</f>
        <v>0</v>
      </c>
      <c r="AH337" s="35">
        <f>ROUND(IF(AQ337="0",BJ337,0),2)</f>
        <v>0</v>
      </c>
      <c r="AI337" s="46" t="s">
        <v>90</v>
      </c>
      <c r="AJ337" s="35">
        <f>IF(AN337=0,I337,0)</f>
        <v>0</v>
      </c>
      <c r="AK337" s="35">
        <f>IF(AN337=12,I337,0)</f>
        <v>0</v>
      </c>
      <c r="AL337" s="35">
        <f>IF(AN337=21,I337,0)</f>
        <v>0</v>
      </c>
      <c r="AN337" s="35">
        <v>21</v>
      </c>
      <c r="AO337" s="35">
        <f>H337*0.602984691</f>
        <v>0</v>
      </c>
      <c r="AP337" s="35">
        <f>H337*(1-0.602984691)</f>
        <v>0</v>
      </c>
      <c r="AQ337" s="62" t="s">
        <v>151</v>
      </c>
      <c r="AV337" s="35">
        <f>ROUND(AW337+AX337,2)</f>
        <v>0</v>
      </c>
      <c r="AW337" s="35">
        <f>ROUND(G337*AO337,2)</f>
        <v>0</v>
      </c>
      <c r="AX337" s="35">
        <f>ROUND(G337*AP337,2)</f>
        <v>0</v>
      </c>
      <c r="AY337" s="62" t="s">
        <v>567</v>
      </c>
      <c r="AZ337" s="62" t="s">
        <v>756</v>
      </c>
      <c r="BA337" s="46" t="s">
        <v>634</v>
      </c>
      <c r="BC337" s="35">
        <f>AW337+AX337</f>
        <v>0</v>
      </c>
      <c r="BD337" s="35">
        <f>H337/(100-BE337)*100</f>
        <v>0</v>
      </c>
      <c r="BE337" s="35">
        <v>0</v>
      </c>
      <c r="BF337" s="35">
        <f>337</f>
        <v>337</v>
      </c>
      <c r="BH337" s="35">
        <f>G337*AO337</f>
        <v>0</v>
      </c>
      <c r="BI337" s="35">
        <f>G337*AP337</f>
        <v>0</v>
      </c>
      <c r="BJ337" s="35">
        <f>G337*H337</f>
        <v>0</v>
      </c>
      <c r="BK337" s="62" t="s">
        <v>135</v>
      </c>
      <c r="BL337" s="35">
        <v>711</v>
      </c>
      <c r="BW337" s="35">
        <v>21</v>
      </c>
      <c r="BX337" s="3" t="s">
        <v>762</v>
      </c>
    </row>
    <row r="338" spans="1:76">
      <c r="A338" s="68"/>
      <c r="D338" s="69" t="s">
        <v>763</v>
      </c>
      <c r="E338" s="70" t="s">
        <v>764</v>
      </c>
      <c r="G338" s="71">
        <v>0.224</v>
      </c>
      <c r="K338" s="51"/>
    </row>
    <row r="339" spans="1:76">
      <c r="A339" s="1" t="s">
        <v>765</v>
      </c>
      <c r="B339" s="2" t="s">
        <v>90</v>
      </c>
      <c r="C339" s="2" t="s">
        <v>575</v>
      </c>
      <c r="D339" s="92" t="s">
        <v>576</v>
      </c>
      <c r="E339" s="87"/>
      <c r="F339" s="2" t="s">
        <v>206</v>
      </c>
      <c r="G339" s="35">
        <v>4.9000000000000002E-2</v>
      </c>
      <c r="H339" s="61">
        <v>0</v>
      </c>
      <c r="I339" s="35">
        <f>ROUND(G339*H339,2)</f>
        <v>0</v>
      </c>
      <c r="K339" s="51"/>
      <c r="Z339" s="35">
        <f>ROUND(IF(AQ339="5",BJ339,0),2)</f>
        <v>0</v>
      </c>
      <c r="AB339" s="35">
        <f>ROUND(IF(AQ339="1",BH339,0),2)</f>
        <v>0</v>
      </c>
      <c r="AC339" s="35">
        <f>ROUND(IF(AQ339="1",BI339,0),2)</f>
        <v>0</v>
      </c>
      <c r="AD339" s="35">
        <f>ROUND(IF(AQ339="7",BH339,0),2)</f>
        <v>0</v>
      </c>
      <c r="AE339" s="35">
        <f>ROUND(IF(AQ339="7",BI339,0),2)</f>
        <v>0</v>
      </c>
      <c r="AF339" s="35">
        <f>ROUND(IF(AQ339="2",BH339,0),2)</f>
        <v>0</v>
      </c>
      <c r="AG339" s="35">
        <f>ROUND(IF(AQ339="2",BI339,0),2)</f>
        <v>0</v>
      </c>
      <c r="AH339" s="35">
        <f>ROUND(IF(AQ339="0",BJ339,0),2)</f>
        <v>0</v>
      </c>
      <c r="AI339" s="46" t="s">
        <v>90</v>
      </c>
      <c r="AJ339" s="35">
        <f>IF(AN339=0,I339,0)</f>
        <v>0</v>
      </c>
      <c r="AK339" s="35">
        <f>IF(AN339=12,I339,0)</f>
        <v>0</v>
      </c>
      <c r="AL339" s="35">
        <f>IF(AN339=21,I339,0)</f>
        <v>0</v>
      </c>
      <c r="AN339" s="35">
        <v>21</v>
      </c>
      <c r="AO339" s="35">
        <f>H339*0</f>
        <v>0</v>
      </c>
      <c r="AP339" s="35">
        <f>H339*(1-0)</f>
        <v>0</v>
      </c>
      <c r="AQ339" s="62" t="s">
        <v>145</v>
      </c>
      <c r="AV339" s="35">
        <f>ROUND(AW339+AX339,2)</f>
        <v>0</v>
      </c>
      <c r="AW339" s="35">
        <f>ROUND(G339*AO339,2)</f>
        <v>0</v>
      </c>
      <c r="AX339" s="35">
        <f>ROUND(G339*AP339,2)</f>
        <v>0</v>
      </c>
      <c r="AY339" s="62" t="s">
        <v>567</v>
      </c>
      <c r="AZ339" s="62" t="s">
        <v>756</v>
      </c>
      <c r="BA339" s="46" t="s">
        <v>634</v>
      </c>
      <c r="BC339" s="35">
        <f>AW339+AX339</f>
        <v>0</v>
      </c>
      <c r="BD339" s="35">
        <f>H339/(100-BE339)*100</f>
        <v>0</v>
      </c>
      <c r="BE339" s="35">
        <v>0</v>
      </c>
      <c r="BF339" s="35">
        <f>339</f>
        <v>339</v>
      </c>
      <c r="BH339" s="35">
        <f>G339*AO339</f>
        <v>0</v>
      </c>
      <c r="BI339" s="35">
        <f>G339*AP339</f>
        <v>0</v>
      </c>
      <c r="BJ339" s="35">
        <f>G339*H339</f>
        <v>0</v>
      </c>
      <c r="BK339" s="62" t="s">
        <v>135</v>
      </c>
      <c r="BL339" s="35">
        <v>711</v>
      </c>
      <c r="BW339" s="35">
        <v>21</v>
      </c>
      <c r="BX339" s="3" t="s">
        <v>576</v>
      </c>
    </row>
    <row r="340" spans="1:76">
      <c r="A340" s="57" t="s">
        <v>4</v>
      </c>
      <c r="B340" s="58" t="s">
        <v>90</v>
      </c>
      <c r="C340" s="58" t="s">
        <v>766</v>
      </c>
      <c r="D340" s="174" t="s">
        <v>767</v>
      </c>
      <c r="E340" s="175"/>
      <c r="F340" s="59" t="s">
        <v>79</v>
      </c>
      <c r="G340" s="59" t="s">
        <v>79</v>
      </c>
      <c r="H340" s="60" t="s">
        <v>79</v>
      </c>
      <c r="I340" s="40">
        <f>SUM(I341:I346)</f>
        <v>0</v>
      </c>
      <c r="K340" s="51"/>
      <c r="AI340" s="46" t="s">
        <v>90</v>
      </c>
      <c r="AS340" s="40">
        <f>SUM(AJ341:AJ346)</f>
        <v>0</v>
      </c>
      <c r="AT340" s="40">
        <f>SUM(AK341:AK346)</f>
        <v>0</v>
      </c>
      <c r="AU340" s="40">
        <f>SUM(AL341:AL346)</f>
        <v>0</v>
      </c>
    </row>
    <row r="341" spans="1:76">
      <c r="A341" s="1" t="s">
        <v>768</v>
      </c>
      <c r="B341" s="2" t="s">
        <v>90</v>
      </c>
      <c r="C341" s="2" t="s">
        <v>769</v>
      </c>
      <c r="D341" s="92" t="s">
        <v>770</v>
      </c>
      <c r="E341" s="87"/>
      <c r="F341" s="2" t="s">
        <v>276</v>
      </c>
      <c r="G341" s="35">
        <v>844.77</v>
      </c>
      <c r="H341" s="61">
        <v>0</v>
      </c>
      <c r="I341" s="35">
        <f>ROUND(G341*H341,2)</f>
        <v>0</v>
      </c>
      <c r="K341" s="51"/>
      <c r="Z341" s="35">
        <f>ROUND(IF(AQ341="5",BJ341,0),2)</f>
        <v>0</v>
      </c>
      <c r="AB341" s="35">
        <f>ROUND(IF(AQ341="1",BH341,0),2)</f>
        <v>0</v>
      </c>
      <c r="AC341" s="35">
        <f>ROUND(IF(AQ341="1",BI341,0),2)</f>
        <v>0</v>
      </c>
      <c r="AD341" s="35">
        <f>ROUND(IF(AQ341="7",BH341,0),2)</f>
        <v>0</v>
      </c>
      <c r="AE341" s="35">
        <f>ROUND(IF(AQ341="7",BI341,0),2)</f>
        <v>0</v>
      </c>
      <c r="AF341" s="35">
        <f>ROUND(IF(AQ341="2",BH341,0),2)</f>
        <v>0</v>
      </c>
      <c r="AG341" s="35">
        <f>ROUND(IF(AQ341="2",BI341,0),2)</f>
        <v>0</v>
      </c>
      <c r="AH341" s="35">
        <f>ROUND(IF(AQ341="0",BJ341,0),2)</f>
        <v>0</v>
      </c>
      <c r="AI341" s="46" t="s">
        <v>90</v>
      </c>
      <c r="AJ341" s="35">
        <f>IF(AN341=0,I341,0)</f>
        <v>0</v>
      </c>
      <c r="AK341" s="35">
        <f>IF(AN341=12,I341,0)</f>
        <v>0</v>
      </c>
      <c r="AL341" s="35">
        <f>IF(AN341=21,I341,0)</f>
        <v>0</v>
      </c>
      <c r="AN341" s="35">
        <v>21</v>
      </c>
      <c r="AO341" s="35">
        <f>H341*0</f>
        <v>0</v>
      </c>
      <c r="AP341" s="35">
        <f>H341*(1-0)</f>
        <v>0</v>
      </c>
      <c r="AQ341" s="62" t="s">
        <v>151</v>
      </c>
      <c r="AV341" s="35">
        <f>ROUND(AW341+AX341,2)</f>
        <v>0</v>
      </c>
      <c r="AW341" s="35">
        <f>ROUND(G341*AO341,2)</f>
        <v>0</v>
      </c>
      <c r="AX341" s="35">
        <f>ROUND(G341*AP341,2)</f>
        <v>0</v>
      </c>
      <c r="AY341" s="62" t="s">
        <v>771</v>
      </c>
      <c r="AZ341" s="62" t="s">
        <v>772</v>
      </c>
      <c r="BA341" s="46" t="s">
        <v>634</v>
      </c>
      <c r="BC341" s="35">
        <f>AW341+AX341</f>
        <v>0</v>
      </c>
      <c r="BD341" s="35">
        <f>H341/(100-BE341)*100</f>
        <v>0</v>
      </c>
      <c r="BE341" s="35">
        <v>0</v>
      </c>
      <c r="BF341" s="35">
        <f>341</f>
        <v>341</v>
      </c>
      <c r="BH341" s="35">
        <f>G341*AO341</f>
        <v>0</v>
      </c>
      <c r="BI341" s="35">
        <f>G341*AP341</f>
        <v>0</v>
      </c>
      <c r="BJ341" s="35">
        <f>G341*H341</f>
        <v>0</v>
      </c>
      <c r="BK341" s="62" t="s">
        <v>135</v>
      </c>
      <c r="BL341" s="35">
        <v>767</v>
      </c>
      <c r="BW341" s="35">
        <v>21</v>
      </c>
      <c r="BX341" s="3" t="s">
        <v>770</v>
      </c>
    </row>
    <row r="342" spans="1:76">
      <c r="A342" s="68"/>
      <c r="D342" s="69" t="s">
        <v>773</v>
      </c>
      <c r="E342" s="70" t="s">
        <v>774</v>
      </c>
      <c r="G342" s="71">
        <v>844.77</v>
      </c>
      <c r="K342" s="51"/>
    </row>
    <row r="343" spans="1:76">
      <c r="A343" s="1" t="s">
        <v>775</v>
      </c>
      <c r="B343" s="2" t="s">
        <v>90</v>
      </c>
      <c r="C343" s="2" t="s">
        <v>776</v>
      </c>
      <c r="D343" s="92" t="s">
        <v>777</v>
      </c>
      <c r="E343" s="87"/>
      <c r="F343" s="2" t="s">
        <v>276</v>
      </c>
      <c r="G343" s="35">
        <v>844.77</v>
      </c>
      <c r="H343" s="61">
        <v>0</v>
      </c>
      <c r="I343" s="35">
        <f>ROUND(G343*H343,2)</f>
        <v>0</v>
      </c>
      <c r="K343" s="51"/>
      <c r="Z343" s="35">
        <f>ROUND(IF(AQ343="5",BJ343,0),2)</f>
        <v>0</v>
      </c>
      <c r="AB343" s="35">
        <f>ROUND(IF(AQ343="1",BH343,0),2)</f>
        <v>0</v>
      </c>
      <c r="AC343" s="35">
        <f>ROUND(IF(AQ343="1",BI343,0),2)</f>
        <v>0</v>
      </c>
      <c r="AD343" s="35">
        <f>ROUND(IF(AQ343="7",BH343,0),2)</f>
        <v>0</v>
      </c>
      <c r="AE343" s="35">
        <f>ROUND(IF(AQ343="7",BI343,0),2)</f>
        <v>0</v>
      </c>
      <c r="AF343" s="35">
        <f>ROUND(IF(AQ343="2",BH343,0),2)</f>
        <v>0</v>
      </c>
      <c r="AG343" s="35">
        <f>ROUND(IF(AQ343="2",BI343,0),2)</f>
        <v>0</v>
      </c>
      <c r="AH343" s="35">
        <f>ROUND(IF(AQ343="0",BJ343,0),2)</f>
        <v>0</v>
      </c>
      <c r="AI343" s="46" t="s">
        <v>90</v>
      </c>
      <c r="AJ343" s="35">
        <f>IF(AN343=0,I343,0)</f>
        <v>0</v>
      </c>
      <c r="AK343" s="35">
        <f>IF(AN343=12,I343,0)</f>
        <v>0</v>
      </c>
      <c r="AL343" s="35">
        <f>IF(AN343=21,I343,0)</f>
        <v>0</v>
      </c>
      <c r="AN343" s="35">
        <v>21</v>
      </c>
      <c r="AO343" s="35">
        <f>H343*0.18796376</f>
        <v>0</v>
      </c>
      <c r="AP343" s="35">
        <f>H343*(1-0.18796376)</f>
        <v>0</v>
      </c>
      <c r="AQ343" s="62" t="s">
        <v>151</v>
      </c>
      <c r="AV343" s="35">
        <f>ROUND(AW343+AX343,2)</f>
        <v>0</v>
      </c>
      <c r="AW343" s="35">
        <f>ROUND(G343*AO343,2)</f>
        <v>0</v>
      </c>
      <c r="AX343" s="35">
        <f>ROUND(G343*AP343,2)</f>
        <v>0</v>
      </c>
      <c r="AY343" s="62" t="s">
        <v>771</v>
      </c>
      <c r="AZ343" s="62" t="s">
        <v>772</v>
      </c>
      <c r="BA343" s="46" t="s">
        <v>634</v>
      </c>
      <c r="BC343" s="35">
        <f>AW343+AX343</f>
        <v>0</v>
      </c>
      <c r="BD343" s="35">
        <f>H343/(100-BE343)*100</f>
        <v>0</v>
      </c>
      <c r="BE343" s="35">
        <v>0</v>
      </c>
      <c r="BF343" s="35">
        <f>343</f>
        <v>343</v>
      </c>
      <c r="BH343" s="35">
        <f>G343*AO343</f>
        <v>0</v>
      </c>
      <c r="BI343" s="35">
        <f>G343*AP343</f>
        <v>0</v>
      </c>
      <c r="BJ343" s="35">
        <f>G343*H343</f>
        <v>0</v>
      </c>
      <c r="BK343" s="62" t="s">
        <v>135</v>
      </c>
      <c r="BL343" s="35">
        <v>767</v>
      </c>
      <c r="BW343" s="35">
        <v>21</v>
      </c>
      <c r="BX343" s="3" t="s">
        <v>777</v>
      </c>
    </row>
    <row r="344" spans="1:76">
      <c r="A344" s="1" t="s">
        <v>778</v>
      </c>
      <c r="B344" s="2" t="s">
        <v>90</v>
      </c>
      <c r="C344" s="2" t="s">
        <v>779</v>
      </c>
      <c r="D344" s="92" t="s">
        <v>780</v>
      </c>
      <c r="E344" s="87"/>
      <c r="F344" s="2" t="s">
        <v>321</v>
      </c>
      <c r="G344" s="35">
        <v>184</v>
      </c>
      <c r="H344" s="61">
        <v>0</v>
      </c>
      <c r="I344" s="35">
        <f>ROUND(G344*H344,2)</f>
        <v>0</v>
      </c>
      <c r="K344" s="51"/>
      <c r="Z344" s="35">
        <f>ROUND(IF(AQ344="5",BJ344,0),2)</f>
        <v>0</v>
      </c>
      <c r="AB344" s="35">
        <f>ROUND(IF(AQ344="1",BH344,0),2)</f>
        <v>0</v>
      </c>
      <c r="AC344" s="35">
        <f>ROUND(IF(AQ344="1",BI344,0),2)</f>
        <v>0</v>
      </c>
      <c r="AD344" s="35">
        <f>ROUND(IF(AQ344="7",BH344,0),2)</f>
        <v>0</v>
      </c>
      <c r="AE344" s="35">
        <f>ROUND(IF(AQ344="7",BI344,0),2)</f>
        <v>0</v>
      </c>
      <c r="AF344" s="35">
        <f>ROUND(IF(AQ344="2",BH344,0),2)</f>
        <v>0</v>
      </c>
      <c r="AG344" s="35">
        <f>ROUND(IF(AQ344="2",BI344,0),2)</f>
        <v>0</v>
      </c>
      <c r="AH344" s="35">
        <f>ROUND(IF(AQ344="0",BJ344,0),2)</f>
        <v>0</v>
      </c>
      <c r="AI344" s="46" t="s">
        <v>90</v>
      </c>
      <c r="AJ344" s="35">
        <f>IF(AN344=0,I344,0)</f>
        <v>0</v>
      </c>
      <c r="AK344" s="35">
        <f>IF(AN344=12,I344,0)</f>
        <v>0</v>
      </c>
      <c r="AL344" s="35">
        <f>IF(AN344=21,I344,0)</f>
        <v>0</v>
      </c>
      <c r="AN344" s="35">
        <v>21</v>
      </c>
      <c r="AO344" s="35">
        <f>H344*0.535533981</f>
        <v>0</v>
      </c>
      <c r="AP344" s="35">
        <f>H344*(1-0.535533981)</f>
        <v>0</v>
      </c>
      <c r="AQ344" s="62" t="s">
        <v>151</v>
      </c>
      <c r="AV344" s="35">
        <f>ROUND(AW344+AX344,2)</f>
        <v>0</v>
      </c>
      <c r="AW344" s="35">
        <f>ROUND(G344*AO344,2)</f>
        <v>0</v>
      </c>
      <c r="AX344" s="35">
        <f>ROUND(G344*AP344,2)</f>
        <v>0</v>
      </c>
      <c r="AY344" s="62" t="s">
        <v>771</v>
      </c>
      <c r="AZ344" s="62" t="s">
        <v>772</v>
      </c>
      <c r="BA344" s="46" t="s">
        <v>634</v>
      </c>
      <c r="BC344" s="35">
        <f>AW344+AX344</f>
        <v>0</v>
      </c>
      <c r="BD344" s="35">
        <f>H344/(100-BE344)*100</f>
        <v>0</v>
      </c>
      <c r="BE344" s="35">
        <v>0</v>
      </c>
      <c r="BF344" s="35">
        <f>344</f>
        <v>344</v>
      </c>
      <c r="BH344" s="35">
        <f>G344*AO344</f>
        <v>0</v>
      </c>
      <c r="BI344" s="35">
        <f>G344*AP344</f>
        <v>0</v>
      </c>
      <c r="BJ344" s="35">
        <f>G344*H344</f>
        <v>0</v>
      </c>
      <c r="BK344" s="62" t="s">
        <v>135</v>
      </c>
      <c r="BL344" s="35">
        <v>767</v>
      </c>
      <c r="BW344" s="35">
        <v>21</v>
      </c>
      <c r="BX344" s="3" t="s">
        <v>780</v>
      </c>
    </row>
    <row r="345" spans="1:76">
      <c r="A345" s="68"/>
      <c r="D345" s="69" t="s">
        <v>781</v>
      </c>
      <c r="E345" s="70" t="s">
        <v>782</v>
      </c>
      <c r="G345" s="71">
        <v>184</v>
      </c>
      <c r="K345" s="51"/>
    </row>
    <row r="346" spans="1:76">
      <c r="A346" s="1" t="s">
        <v>783</v>
      </c>
      <c r="B346" s="2" t="s">
        <v>90</v>
      </c>
      <c r="C346" s="2" t="s">
        <v>784</v>
      </c>
      <c r="D346" s="92" t="s">
        <v>785</v>
      </c>
      <c r="E346" s="87"/>
      <c r="F346" s="2" t="s">
        <v>206</v>
      </c>
      <c r="G346" s="35">
        <v>0.84799999999999998</v>
      </c>
      <c r="H346" s="61">
        <v>0</v>
      </c>
      <c r="I346" s="35">
        <f>ROUND(G346*H346,2)</f>
        <v>0</v>
      </c>
      <c r="K346" s="51"/>
      <c r="Z346" s="35">
        <f>ROUND(IF(AQ346="5",BJ346,0),2)</f>
        <v>0</v>
      </c>
      <c r="AB346" s="35">
        <f>ROUND(IF(AQ346="1",BH346,0),2)</f>
        <v>0</v>
      </c>
      <c r="AC346" s="35">
        <f>ROUND(IF(AQ346="1",BI346,0),2)</f>
        <v>0</v>
      </c>
      <c r="AD346" s="35">
        <f>ROUND(IF(AQ346="7",BH346,0),2)</f>
        <v>0</v>
      </c>
      <c r="AE346" s="35">
        <f>ROUND(IF(AQ346="7",BI346,0),2)</f>
        <v>0</v>
      </c>
      <c r="AF346" s="35">
        <f>ROUND(IF(AQ346="2",BH346,0),2)</f>
        <v>0</v>
      </c>
      <c r="AG346" s="35">
        <f>ROUND(IF(AQ346="2",BI346,0),2)</f>
        <v>0</v>
      </c>
      <c r="AH346" s="35">
        <f>ROUND(IF(AQ346="0",BJ346,0),2)</f>
        <v>0</v>
      </c>
      <c r="AI346" s="46" t="s">
        <v>90</v>
      </c>
      <c r="AJ346" s="35">
        <f>IF(AN346=0,I346,0)</f>
        <v>0</v>
      </c>
      <c r="AK346" s="35">
        <f>IF(AN346=12,I346,0)</f>
        <v>0</v>
      </c>
      <c r="AL346" s="35">
        <f>IF(AN346=21,I346,0)</f>
        <v>0</v>
      </c>
      <c r="AN346" s="35">
        <v>21</v>
      </c>
      <c r="AO346" s="35">
        <f>H346*0</f>
        <v>0</v>
      </c>
      <c r="AP346" s="35">
        <f>H346*(1-0)</f>
        <v>0</v>
      </c>
      <c r="AQ346" s="62" t="s">
        <v>145</v>
      </c>
      <c r="AV346" s="35">
        <f>ROUND(AW346+AX346,2)</f>
        <v>0</v>
      </c>
      <c r="AW346" s="35">
        <f>ROUND(G346*AO346,2)</f>
        <v>0</v>
      </c>
      <c r="AX346" s="35">
        <f>ROUND(G346*AP346,2)</f>
        <v>0</v>
      </c>
      <c r="AY346" s="62" t="s">
        <v>771</v>
      </c>
      <c r="AZ346" s="62" t="s">
        <v>772</v>
      </c>
      <c r="BA346" s="46" t="s">
        <v>634</v>
      </c>
      <c r="BC346" s="35">
        <f>AW346+AX346</f>
        <v>0</v>
      </c>
      <c r="BD346" s="35">
        <f>H346/(100-BE346)*100</f>
        <v>0</v>
      </c>
      <c r="BE346" s="35">
        <v>0</v>
      </c>
      <c r="BF346" s="35">
        <f>346</f>
        <v>346</v>
      </c>
      <c r="BH346" s="35">
        <f>G346*AO346</f>
        <v>0</v>
      </c>
      <c r="BI346" s="35">
        <f>G346*AP346</f>
        <v>0</v>
      </c>
      <c r="BJ346" s="35">
        <f>G346*H346</f>
        <v>0</v>
      </c>
      <c r="BK346" s="62" t="s">
        <v>135</v>
      </c>
      <c r="BL346" s="35">
        <v>767</v>
      </c>
      <c r="BW346" s="35">
        <v>21</v>
      </c>
      <c r="BX346" s="3" t="s">
        <v>785</v>
      </c>
    </row>
    <row r="347" spans="1:76">
      <c r="A347" s="63" t="s">
        <v>4</v>
      </c>
      <c r="B347" s="64" t="s">
        <v>92</v>
      </c>
      <c r="C347" s="64" t="s">
        <v>4</v>
      </c>
      <c r="D347" s="176" t="s">
        <v>93</v>
      </c>
      <c r="E347" s="177"/>
      <c r="F347" s="65" t="s">
        <v>79</v>
      </c>
      <c r="G347" s="65" t="s">
        <v>79</v>
      </c>
      <c r="H347" s="66" t="s">
        <v>79</v>
      </c>
      <c r="I347" s="67">
        <f>I348+I361+I374</f>
        <v>0</v>
      </c>
      <c r="K347" s="51"/>
    </row>
    <row r="348" spans="1:76">
      <c r="A348" s="57" t="s">
        <v>4</v>
      </c>
      <c r="B348" s="58" t="s">
        <v>92</v>
      </c>
      <c r="C348" s="58" t="s">
        <v>166</v>
      </c>
      <c r="D348" s="174" t="s">
        <v>630</v>
      </c>
      <c r="E348" s="175"/>
      <c r="F348" s="59" t="s">
        <v>79</v>
      </c>
      <c r="G348" s="59" t="s">
        <v>79</v>
      </c>
      <c r="H348" s="60" t="s">
        <v>79</v>
      </c>
      <c r="I348" s="40">
        <f>SUM(I349:I360)</f>
        <v>0</v>
      </c>
      <c r="K348" s="51"/>
      <c r="AI348" s="46" t="s">
        <v>92</v>
      </c>
      <c r="AS348" s="40">
        <f>SUM(AJ349:AJ360)</f>
        <v>0</v>
      </c>
      <c r="AT348" s="40">
        <f>SUM(AK349:AK360)</f>
        <v>0</v>
      </c>
      <c r="AU348" s="40">
        <f>SUM(AL349:AL360)</f>
        <v>0</v>
      </c>
    </row>
    <row r="349" spans="1:76">
      <c r="A349" s="1" t="s">
        <v>786</v>
      </c>
      <c r="B349" s="2" t="s">
        <v>92</v>
      </c>
      <c r="C349" s="2" t="s">
        <v>787</v>
      </c>
      <c r="D349" s="92" t="s">
        <v>788</v>
      </c>
      <c r="E349" s="87"/>
      <c r="F349" s="2" t="s">
        <v>223</v>
      </c>
      <c r="G349" s="35">
        <v>3.24</v>
      </c>
      <c r="H349" s="61">
        <v>0</v>
      </c>
      <c r="I349" s="35">
        <f>ROUND(G349*H349,2)</f>
        <v>0</v>
      </c>
      <c r="K349" s="51"/>
      <c r="Z349" s="35">
        <f>ROUND(IF(AQ349="5",BJ349,0),2)</f>
        <v>0</v>
      </c>
      <c r="AB349" s="35">
        <f>ROUND(IF(AQ349="1",BH349,0),2)</f>
        <v>0</v>
      </c>
      <c r="AC349" s="35">
        <f>ROUND(IF(AQ349="1",BI349,0),2)</f>
        <v>0</v>
      </c>
      <c r="AD349" s="35">
        <f>ROUND(IF(AQ349="7",BH349,0),2)</f>
        <v>0</v>
      </c>
      <c r="AE349" s="35">
        <f>ROUND(IF(AQ349="7",BI349,0),2)</f>
        <v>0</v>
      </c>
      <c r="AF349" s="35">
        <f>ROUND(IF(AQ349="2",BH349,0),2)</f>
        <v>0</v>
      </c>
      <c r="AG349" s="35">
        <f>ROUND(IF(AQ349="2",BI349,0),2)</f>
        <v>0</v>
      </c>
      <c r="AH349" s="35">
        <f>ROUND(IF(AQ349="0",BJ349,0),2)</f>
        <v>0</v>
      </c>
      <c r="AI349" s="46" t="s">
        <v>92</v>
      </c>
      <c r="AJ349" s="35">
        <f>IF(AN349=0,I349,0)</f>
        <v>0</v>
      </c>
      <c r="AK349" s="35">
        <f>IF(AN349=12,I349,0)</f>
        <v>0</v>
      </c>
      <c r="AL349" s="35">
        <f>IF(AN349=21,I349,0)</f>
        <v>0</v>
      </c>
      <c r="AN349" s="35">
        <v>21</v>
      </c>
      <c r="AO349" s="35">
        <f>H349*0</f>
        <v>0</v>
      </c>
      <c r="AP349" s="35">
        <f>H349*(1-0)</f>
        <v>0</v>
      </c>
      <c r="AQ349" s="62" t="s">
        <v>127</v>
      </c>
      <c r="AV349" s="35">
        <f>ROUND(AW349+AX349,2)</f>
        <v>0</v>
      </c>
      <c r="AW349" s="35">
        <f>ROUND(G349*AO349,2)</f>
        <v>0</v>
      </c>
      <c r="AX349" s="35">
        <f>ROUND(G349*AP349,2)</f>
        <v>0</v>
      </c>
      <c r="AY349" s="62" t="s">
        <v>632</v>
      </c>
      <c r="AZ349" s="62" t="s">
        <v>789</v>
      </c>
      <c r="BA349" s="46" t="s">
        <v>790</v>
      </c>
      <c r="BC349" s="35">
        <f>AW349+AX349</f>
        <v>0</v>
      </c>
      <c r="BD349" s="35">
        <f>H349/(100-BE349)*100</f>
        <v>0</v>
      </c>
      <c r="BE349" s="35">
        <v>0</v>
      </c>
      <c r="BF349" s="35">
        <f>349</f>
        <v>349</v>
      </c>
      <c r="BH349" s="35">
        <f>G349*AO349</f>
        <v>0</v>
      </c>
      <c r="BI349" s="35">
        <f>G349*AP349</f>
        <v>0</v>
      </c>
      <c r="BJ349" s="35">
        <f>G349*H349</f>
        <v>0</v>
      </c>
      <c r="BK349" s="62" t="s">
        <v>135</v>
      </c>
      <c r="BL349" s="35">
        <v>13</v>
      </c>
      <c r="BW349" s="35">
        <v>21</v>
      </c>
      <c r="BX349" s="3" t="s">
        <v>788</v>
      </c>
    </row>
    <row r="350" spans="1:76">
      <c r="A350" s="68"/>
      <c r="D350" s="69" t="s">
        <v>791</v>
      </c>
      <c r="E350" s="70" t="s">
        <v>792</v>
      </c>
      <c r="G350" s="71">
        <v>3.24</v>
      </c>
      <c r="K350" s="51"/>
    </row>
    <row r="351" spans="1:76">
      <c r="A351" s="1" t="s">
        <v>793</v>
      </c>
      <c r="B351" s="2" t="s">
        <v>92</v>
      </c>
      <c r="C351" s="2" t="s">
        <v>794</v>
      </c>
      <c r="D351" s="92" t="s">
        <v>795</v>
      </c>
      <c r="E351" s="87"/>
      <c r="F351" s="2" t="s">
        <v>321</v>
      </c>
      <c r="G351" s="35">
        <v>5</v>
      </c>
      <c r="H351" s="61">
        <v>0</v>
      </c>
      <c r="I351" s="35">
        <f>ROUND(G351*H351,2)</f>
        <v>0</v>
      </c>
      <c r="K351" s="51"/>
      <c r="Z351" s="35">
        <f>ROUND(IF(AQ351="5",BJ351,0),2)</f>
        <v>0</v>
      </c>
      <c r="AB351" s="35">
        <f>ROUND(IF(AQ351="1",BH351,0),2)</f>
        <v>0</v>
      </c>
      <c r="AC351" s="35">
        <f>ROUND(IF(AQ351="1",BI351,0),2)</f>
        <v>0</v>
      </c>
      <c r="AD351" s="35">
        <f>ROUND(IF(AQ351="7",BH351,0),2)</f>
        <v>0</v>
      </c>
      <c r="AE351" s="35">
        <f>ROUND(IF(AQ351="7",BI351,0),2)</f>
        <v>0</v>
      </c>
      <c r="AF351" s="35">
        <f>ROUND(IF(AQ351="2",BH351,0),2)</f>
        <v>0</v>
      </c>
      <c r="AG351" s="35">
        <f>ROUND(IF(AQ351="2",BI351,0),2)</f>
        <v>0</v>
      </c>
      <c r="AH351" s="35">
        <f>ROUND(IF(AQ351="0",BJ351,0),2)</f>
        <v>0</v>
      </c>
      <c r="AI351" s="46" t="s">
        <v>92</v>
      </c>
      <c r="AJ351" s="35">
        <f>IF(AN351=0,I351,0)</f>
        <v>0</v>
      </c>
      <c r="AK351" s="35">
        <f>IF(AN351=12,I351,0)</f>
        <v>0</v>
      </c>
      <c r="AL351" s="35">
        <f>IF(AN351=21,I351,0)</f>
        <v>0</v>
      </c>
      <c r="AN351" s="35">
        <v>21</v>
      </c>
      <c r="AO351" s="35">
        <f>H351*0</f>
        <v>0</v>
      </c>
      <c r="AP351" s="35">
        <f>H351*(1-0)</f>
        <v>0</v>
      </c>
      <c r="AQ351" s="62" t="s">
        <v>127</v>
      </c>
      <c r="AV351" s="35">
        <f>ROUND(AW351+AX351,2)</f>
        <v>0</v>
      </c>
      <c r="AW351" s="35">
        <f>ROUND(G351*AO351,2)</f>
        <v>0</v>
      </c>
      <c r="AX351" s="35">
        <f>ROUND(G351*AP351,2)</f>
        <v>0</v>
      </c>
      <c r="AY351" s="62" t="s">
        <v>632</v>
      </c>
      <c r="AZ351" s="62" t="s">
        <v>789</v>
      </c>
      <c r="BA351" s="46" t="s">
        <v>790</v>
      </c>
      <c r="BC351" s="35">
        <f>AW351+AX351</f>
        <v>0</v>
      </c>
      <c r="BD351" s="35">
        <f>H351/(100-BE351)*100</f>
        <v>0</v>
      </c>
      <c r="BE351" s="35">
        <v>0</v>
      </c>
      <c r="BF351" s="35">
        <f>351</f>
        <v>351</v>
      </c>
      <c r="BH351" s="35">
        <f>G351*AO351</f>
        <v>0</v>
      </c>
      <c r="BI351" s="35">
        <f>G351*AP351</f>
        <v>0</v>
      </c>
      <c r="BJ351" s="35">
        <f>G351*H351</f>
        <v>0</v>
      </c>
      <c r="BK351" s="62" t="s">
        <v>135</v>
      </c>
      <c r="BL351" s="35">
        <v>13</v>
      </c>
      <c r="BW351" s="35">
        <v>21</v>
      </c>
      <c r="BX351" s="3" t="s">
        <v>795</v>
      </c>
    </row>
    <row r="352" spans="1:76">
      <c r="A352" s="68"/>
      <c r="D352" s="69" t="s">
        <v>145</v>
      </c>
      <c r="E352" s="70" t="s">
        <v>796</v>
      </c>
      <c r="G352" s="71">
        <v>5</v>
      </c>
      <c r="K352" s="51"/>
    </row>
    <row r="353" spans="1:76">
      <c r="A353" s="1" t="s">
        <v>797</v>
      </c>
      <c r="B353" s="2" t="s">
        <v>92</v>
      </c>
      <c r="C353" s="2" t="s">
        <v>798</v>
      </c>
      <c r="D353" s="92" t="s">
        <v>799</v>
      </c>
      <c r="E353" s="87"/>
      <c r="F353" s="2" t="s">
        <v>321</v>
      </c>
      <c r="G353" s="35">
        <v>3</v>
      </c>
      <c r="H353" s="61">
        <v>0</v>
      </c>
      <c r="I353" s="35">
        <f>ROUND(G353*H353,2)</f>
        <v>0</v>
      </c>
      <c r="K353" s="51"/>
      <c r="Z353" s="35">
        <f>ROUND(IF(AQ353="5",BJ353,0),2)</f>
        <v>0</v>
      </c>
      <c r="AB353" s="35">
        <f>ROUND(IF(AQ353="1",BH353,0),2)</f>
        <v>0</v>
      </c>
      <c r="AC353" s="35">
        <f>ROUND(IF(AQ353="1",BI353,0),2)</f>
        <v>0</v>
      </c>
      <c r="AD353" s="35">
        <f>ROUND(IF(AQ353="7",BH353,0),2)</f>
        <v>0</v>
      </c>
      <c r="AE353" s="35">
        <f>ROUND(IF(AQ353="7",BI353,0),2)</f>
        <v>0</v>
      </c>
      <c r="AF353" s="35">
        <f>ROUND(IF(AQ353="2",BH353,0),2)</f>
        <v>0</v>
      </c>
      <c r="AG353" s="35">
        <f>ROUND(IF(AQ353="2",BI353,0),2)</f>
        <v>0</v>
      </c>
      <c r="AH353" s="35">
        <f>ROUND(IF(AQ353="0",BJ353,0),2)</f>
        <v>0</v>
      </c>
      <c r="AI353" s="46" t="s">
        <v>92</v>
      </c>
      <c r="AJ353" s="35">
        <f>IF(AN353=0,I353,0)</f>
        <v>0</v>
      </c>
      <c r="AK353" s="35">
        <f>IF(AN353=12,I353,0)</f>
        <v>0</v>
      </c>
      <c r="AL353" s="35">
        <f>IF(AN353=21,I353,0)</f>
        <v>0</v>
      </c>
      <c r="AN353" s="35">
        <v>21</v>
      </c>
      <c r="AO353" s="35">
        <f>H353*0</f>
        <v>0</v>
      </c>
      <c r="AP353" s="35">
        <f>H353*(1-0)</f>
        <v>0</v>
      </c>
      <c r="AQ353" s="62" t="s">
        <v>127</v>
      </c>
      <c r="AV353" s="35">
        <f>ROUND(AW353+AX353,2)</f>
        <v>0</v>
      </c>
      <c r="AW353" s="35">
        <f>ROUND(G353*AO353,2)</f>
        <v>0</v>
      </c>
      <c r="AX353" s="35">
        <f>ROUND(G353*AP353,2)</f>
        <v>0</v>
      </c>
      <c r="AY353" s="62" t="s">
        <v>632</v>
      </c>
      <c r="AZ353" s="62" t="s">
        <v>789</v>
      </c>
      <c r="BA353" s="46" t="s">
        <v>790</v>
      </c>
      <c r="BC353" s="35">
        <f>AW353+AX353</f>
        <v>0</v>
      </c>
      <c r="BD353" s="35">
        <f>H353/(100-BE353)*100</f>
        <v>0</v>
      </c>
      <c r="BE353" s="35">
        <v>0</v>
      </c>
      <c r="BF353" s="35">
        <f>353</f>
        <v>353</v>
      </c>
      <c r="BH353" s="35">
        <f>G353*AO353</f>
        <v>0</v>
      </c>
      <c r="BI353" s="35">
        <f>G353*AP353</f>
        <v>0</v>
      </c>
      <c r="BJ353" s="35">
        <f>G353*H353</f>
        <v>0</v>
      </c>
      <c r="BK353" s="62" t="s">
        <v>135</v>
      </c>
      <c r="BL353" s="35">
        <v>13</v>
      </c>
      <c r="BW353" s="35">
        <v>21</v>
      </c>
      <c r="BX353" s="3" t="s">
        <v>799</v>
      </c>
    </row>
    <row r="354" spans="1:76">
      <c r="A354" s="68"/>
      <c r="D354" s="69" t="s">
        <v>139</v>
      </c>
      <c r="E354" s="70" t="s">
        <v>800</v>
      </c>
      <c r="G354" s="71">
        <v>3</v>
      </c>
      <c r="K354" s="51"/>
    </row>
    <row r="355" spans="1:76">
      <c r="A355" s="1" t="s">
        <v>801</v>
      </c>
      <c r="B355" s="2" t="s">
        <v>92</v>
      </c>
      <c r="C355" s="2" t="s">
        <v>649</v>
      </c>
      <c r="D355" s="92" t="s">
        <v>650</v>
      </c>
      <c r="E355" s="87"/>
      <c r="F355" s="2" t="s">
        <v>223</v>
      </c>
      <c r="G355" s="35">
        <v>3.04</v>
      </c>
      <c r="H355" s="61">
        <v>0</v>
      </c>
      <c r="I355" s="35">
        <f>ROUND(G355*H355,2)</f>
        <v>0</v>
      </c>
      <c r="K355" s="51"/>
      <c r="Z355" s="35">
        <f>ROUND(IF(AQ355="5",BJ355,0),2)</f>
        <v>0</v>
      </c>
      <c r="AB355" s="35">
        <f>ROUND(IF(AQ355="1",BH355,0),2)</f>
        <v>0</v>
      </c>
      <c r="AC355" s="35">
        <f>ROUND(IF(AQ355="1",BI355,0),2)</f>
        <v>0</v>
      </c>
      <c r="AD355" s="35">
        <f>ROUND(IF(AQ355="7",BH355,0),2)</f>
        <v>0</v>
      </c>
      <c r="AE355" s="35">
        <f>ROUND(IF(AQ355="7",BI355,0),2)</f>
        <v>0</v>
      </c>
      <c r="AF355" s="35">
        <f>ROUND(IF(AQ355="2",BH355,0),2)</f>
        <v>0</v>
      </c>
      <c r="AG355" s="35">
        <f>ROUND(IF(AQ355="2",BI355,0),2)</f>
        <v>0</v>
      </c>
      <c r="AH355" s="35">
        <f>ROUND(IF(AQ355="0",BJ355,0),2)</f>
        <v>0</v>
      </c>
      <c r="AI355" s="46" t="s">
        <v>92</v>
      </c>
      <c r="AJ355" s="35">
        <f>IF(AN355=0,I355,0)</f>
        <v>0</v>
      </c>
      <c r="AK355" s="35">
        <f>IF(AN355=12,I355,0)</f>
        <v>0</v>
      </c>
      <c r="AL355" s="35">
        <f>IF(AN355=21,I355,0)</f>
        <v>0</v>
      </c>
      <c r="AN355" s="35">
        <v>21</v>
      </c>
      <c r="AO355" s="35">
        <f>H355*0</f>
        <v>0</v>
      </c>
      <c r="AP355" s="35">
        <f>H355*(1-0)</f>
        <v>0</v>
      </c>
      <c r="AQ355" s="62" t="s">
        <v>127</v>
      </c>
      <c r="AV355" s="35">
        <f>ROUND(AW355+AX355,2)</f>
        <v>0</v>
      </c>
      <c r="AW355" s="35">
        <f>ROUND(G355*AO355,2)</f>
        <v>0</v>
      </c>
      <c r="AX355" s="35">
        <f>ROUND(G355*AP355,2)</f>
        <v>0</v>
      </c>
      <c r="AY355" s="62" t="s">
        <v>632</v>
      </c>
      <c r="AZ355" s="62" t="s">
        <v>789</v>
      </c>
      <c r="BA355" s="46" t="s">
        <v>790</v>
      </c>
      <c r="BC355" s="35">
        <f>AW355+AX355</f>
        <v>0</v>
      </c>
      <c r="BD355" s="35">
        <f>H355/(100-BE355)*100</f>
        <v>0</v>
      </c>
      <c r="BE355" s="35">
        <v>0</v>
      </c>
      <c r="BF355" s="35">
        <f>355</f>
        <v>355</v>
      </c>
      <c r="BH355" s="35">
        <f>G355*AO355</f>
        <v>0</v>
      </c>
      <c r="BI355" s="35">
        <f>G355*AP355</f>
        <v>0</v>
      </c>
      <c r="BJ355" s="35">
        <f>G355*H355</f>
        <v>0</v>
      </c>
      <c r="BK355" s="62" t="s">
        <v>135</v>
      </c>
      <c r="BL355" s="35">
        <v>13</v>
      </c>
      <c r="BW355" s="35">
        <v>21</v>
      </c>
      <c r="BX355" s="3" t="s">
        <v>650</v>
      </c>
    </row>
    <row r="356" spans="1:76">
      <c r="A356" s="68"/>
      <c r="D356" s="69" t="s">
        <v>802</v>
      </c>
      <c r="E356" s="70" t="s">
        <v>792</v>
      </c>
      <c r="G356" s="71">
        <v>3.04</v>
      </c>
      <c r="K356" s="51"/>
    </row>
    <row r="357" spans="1:76">
      <c r="A357" s="1" t="s">
        <v>803</v>
      </c>
      <c r="B357" s="2" t="s">
        <v>92</v>
      </c>
      <c r="C357" s="2" t="s">
        <v>242</v>
      </c>
      <c r="D357" s="92" t="s">
        <v>243</v>
      </c>
      <c r="E357" s="87"/>
      <c r="F357" s="2" t="s">
        <v>223</v>
      </c>
      <c r="G357" s="35">
        <v>0.55600000000000005</v>
      </c>
      <c r="H357" s="61">
        <v>0</v>
      </c>
      <c r="I357" s="35">
        <f>ROUND(G357*H357,2)</f>
        <v>0</v>
      </c>
      <c r="K357" s="51"/>
      <c r="Z357" s="35">
        <f>ROUND(IF(AQ357="5",BJ357,0),2)</f>
        <v>0</v>
      </c>
      <c r="AB357" s="35">
        <f>ROUND(IF(AQ357="1",BH357,0),2)</f>
        <v>0</v>
      </c>
      <c r="AC357" s="35">
        <f>ROUND(IF(AQ357="1",BI357,0),2)</f>
        <v>0</v>
      </c>
      <c r="AD357" s="35">
        <f>ROUND(IF(AQ357="7",BH357,0),2)</f>
        <v>0</v>
      </c>
      <c r="AE357" s="35">
        <f>ROUND(IF(AQ357="7",BI357,0),2)</f>
        <v>0</v>
      </c>
      <c r="AF357" s="35">
        <f>ROUND(IF(AQ357="2",BH357,0),2)</f>
        <v>0</v>
      </c>
      <c r="AG357" s="35">
        <f>ROUND(IF(AQ357="2",BI357,0),2)</f>
        <v>0</v>
      </c>
      <c r="AH357" s="35">
        <f>ROUND(IF(AQ357="0",BJ357,0),2)</f>
        <v>0</v>
      </c>
      <c r="AI357" s="46" t="s">
        <v>92</v>
      </c>
      <c r="AJ357" s="35">
        <f>IF(AN357=0,I357,0)</f>
        <v>0</v>
      </c>
      <c r="AK357" s="35">
        <f>IF(AN357=12,I357,0)</f>
        <v>0</v>
      </c>
      <c r="AL357" s="35">
        <f>IF(AN357=21,I357,0)</f>
        <v>0</v>
      </c>
      <c r="AN357" s="35">
        <v>21</v>
      </c>
      <c r="AO357" s="35">
        <f>H357*0</f>
        <v>0</v>
      </c>
      <c r="AP357" s="35">
        <f>H357*(1-0)</f>
        <v>0</v>
      </c>
      <c r="AQ357" s="62" t="s">
        <v>127</v>
      </c>
      <c r="AV357" s="35">
        <f>ROUND(AW357+AX357,2)</f>
        <v>0</v>
      </c>
      <c r="AW357" s="35">
        <f>ROUND(G357*AO357,2)</f>
        <v>0</v>
      </c>
      <c r="AX357" s="35">
        <f>ROUND(G357*AP357,2)</f>
        <v>0</v>
      </c>
      <c r="AY357" s="62" t="s">
        <v>632</v>
      </c>
      <c r="AZ357" s="62" t="s">
        <v>789</v>
      </c>
      <c r="BA357" s="46" t="s">
        <v>790</v>
      </c>
      <c r="BC357" s="35">
        <f>AW357+AX357</f>
        <v>0</v>
      </c>
      <c r="BD357" s="35">
        <f>H357/(100-BE357)*100</f>
        <v>0</v>
      </c>
      <c r="BE357" s="35">
        <v>0</v>
      </c>
      <c r="BF357" s="35">
        <f>357</f>
        <v>357</v>
      </c>
      <c r="BH357" s="35">
        <f>G357*AO357</f>
        <v>0</v>
      </c>
      <c r="BI357" s="35">
        <f>G357*AP357</f>
        <v>0</v>
      </c>
      <c r="BJ357" s="35">
        <f>G357*H357</f>
        <v>0</v>
      </c>
      <c r="BK357" s="62" t="s">
        <v>135</v>
      </c>
      <c r="BL357" s="35">
        <v>13</v>
      </c>
      <c r="BW357" s="35">
        <v>21</v>
      </c>
      <c r="BX357" s="3" t="s">
        <v>243</v>
      </c>
    </row>
    <row r="358" spans="1:76">
      <c r="A358" s="68"/>
      <c r="D358" s="69" t="s">
        <v>804</v>
      </c>
      <c r="E358" s="70" t="s">
        <v>4</v>
      </c>
      <c r="G358" s="71">
        <v>3.5960000000000001</v>
      </c>
      <c r="K358" s="51"/>
    </row>
    <row r="359" spans="1:76">
      <c r="A359" s="68"/>
      <c r="D359" s="69" t="s">
        <v>805</v>
      </c>
      <c r="E359" s="70" t="s">
        <v>4</v>
      </c>
      <c r="G359" s="71">
        <v>-3.04</v>
      </c>
      <c r="K359" s="51"/>
    </row>
    <row r="360" spans="1:76">
      <c r="A360" s="1" t="s">
        <v>806</v>
      </c>
      <c r="B360" s="2" t="s">
        <v>92</v>
      </c>
      <c r="C360" s="2" t="s">
        <v>251</v>
      </c>
      <c r="D360" s="92" t="s">
        <v>252</v>
      </c>
      <c r="E360" s="87"/>
      <c r="F360" s="2" t="s">
        <v>223</v>
      </c>
      <c r="G360" s="35">
        <v>0.55600000000000005</v>
      </c>
      <c r="H360" s="61">
        <v>0</v>
      </c>
      <c r="I360" s="35">
        <f>ROUND(G360*H360,2)</f>
        <v>0</v>
      </c>
      <c r="K360" s="51"/>
      <c r="Z360" s="35">
        <f>ROUND(IF(AQ360="5",BJ360,0),2)</f>
        <v>0</v>
      </c>
      <c r="AB360" s="35">
        <f>ROUND(IF(AQ360="1",BH360,0),2)</f>
        <v>0</v>
      </c>
      <c r="AC360" s="35">
        <f>ROUND(IF(AQ360="1",BI360,0),2)</f>
        <v>0</v>
      </c>
      <c r="AD360" s="35">
        <f>ROUND(IF(AQ360="7",BH360,0),2)</f>
        <v>0</v>
      </c>
      <c r="AE360" s="35">
        <f>ROUND(IF(AQ360="7",BI360,0),2)</f>
        <v>0</v>
      </c>
      <c r="AF360" s="35">
        <f>ROUND(IF(AQ360="2",BH360,0),2)</f>
        <v>0</v>
      </c>
      <c r="AG360" s="35">
        <f>ROUND(IF(AQ360="2",BI360,0),2)</f>
        <v>0</v>
      </c>
      <c r="AH360" s="35">
        <f>ROUND(IF(AQ360="0",BJ360,0),2)</f>
        <v>0</v>
      </c>
      <c r="AI360" s="46" t="s">
        <v>92</v>
      </c>
      <c r="AJ360" s="35">
        <f>IF(AN360=0,I360,0)</f>
        <v>0</v>
      </c>
      <c r="AK360" s="35">
        <f>IF(AN360=12,I360,0)</f>
        <v>0</v>
      </c>
      <c r="AL360" s="35">
        <f>IF(AN360=21,I360,0)</f>
        <v>0</v>
      </c>
      <c r="AN360" s="35">
        <v>21</v>
      </c>
      <c r="AO360" s="35">
        <f>H360*0</f>
        <v>0</v>
      </c>
      <c r="AP360" s="35">
        <f>H360*(1-0)</f>
        <v>0</v>
      </c>
      <c r="AQ360" s="62" t="s">
        <v>127</v>
      </c>
      <c r="AV360" s="35">
        <f>ROUND(AW360+AX360,2)</f>
        <v>0</v>
      </c>
      <c r="AW360" s="35">
        <f>ROUND(G360*AO360,2)</f>
        <v>0</v>
      </c>
      <c r="AX360" s="35">
        <f>ROUND(G360*AP360,2)</f>
        <v>0</v>
      </c>
      <c r="AY360" s="62" t="s">
        <v>632</v>
      </c>
      <c r="AZ360" s="62" t="s">
        <v>789</v>
      </c>
      <c r="BA360" s="46" t="s">
        <v>790</v>
      </c>
      <c r="BC360" s="35">
        <f>AW360+AX360</f>
        <v>0</v>
      </c>
      <c r="BD360" s="35">
        <f>H360/(100-BE360)*100</f>
        <v>0</v>
      </c>
      <c r="BE360" s="35">
        <v>0</v>
      </c>
      <c r="BF360" s="35">
        <f>360</f>
        <v>360</v>
      </c>
      <c r="BH360" s="35">
        <f>G360*AO360</f>
        <v>0</v>
      </c>
      <c r="BI360" s="35">
        <f>G360*AP360</f>
        <v>0</v>
      </c>
      <c r="BJ360" s="35">
        <f>G360*H360</f>
        <v>0</v>
      </c>
      <c r="BK360" s="62" t="s">
        <v>135</v>
      </c>
      <c r="BL360" s="35">
        <v>13</v>
      </c>
      <c r="BW360" s="35">
        <v>21</v>
      </c>
      <c r="BX360" s="3" t="s">
        <v>252</v>
      </c>
    </row>
    <row r="361" spans="1:76">
      <c r="A361" s="57" t="s">
        <v>4</v>
      </c>
      <c r="B361" s="58" t="s">
        <v>92</v>
      </c>
      <c r="C361" s="58" t="s">
        <v>214</v>
      </c>
      <c r="D361" s="174" t="s">
        <v>688</v>
      </c>
      <c r="E361" s="175"/>
      <c r="F361" s="59" t="s">
        <v>79</v>
      </c>
      <c r="G361" s="59" t="s">
        <v>79</v>
      </c>
      <c r="H361" s="60" t="s">
        <v>79</v>
      </c>
      <c r="I361" s="40">
        <f>SUM(I362:I373)</f>
        <v>0</v>
      </c>
      <c r="K361" s="51"/>
      <c r="AI361" s="46" t="s">
        <v>92</v>
      </c>
      <c r="AS361" s="40">
        <f>SUM(AJ362:AJ373)</f>
        <v>0</v>
      </c>
      <c r="AT361" s="40">
        <f>SUM(AK362:AK373)</f>
        <v>0</v>
      </c>
      <c r="AU361" s="40">
        <f>SUM(AL362:AL373)</f>
        <v>0</v>
      </c>
    </row>
    <row r="362" spans="1:76">
      <c r="A362" s="1" t="s">
        <v>807</v>
      </c>
      <c r="B362" s="2" t="s">
        <v>92</v>
      </c>
      <c r="C362" s="2" t="s">
        <v>808</v>
      </c>
      <c r="D362" s="92" t="s">
        <v>809</v>
      </c>
      <c r="E362" s="87"/>
      <c r="F362" s="2" t="s">
        <v>223</v>
      </c>
      <c r="G362" s="35">
        <v>4.617</v>
      </c>
      <c r="H362" s="61">
        <v>0</v>
      </c>
      <c r="I362" s="35">
        <f>ROUND(G362*H362,2)</f>
        <v>0</v>
      </c>
      <c r="K362" s="51"/>
      <c r="Z362" s="35">
        <f>ROUND(IF(AQ362="5",BJ362,0),2)</f>
        <v>0</v>
      </c>
      <c r="AB362" s="35">
        <f>ROUND(IF(AQ362="1",BH362,0),2)</f>
        <v>0</v>
      </c>
      <c r="AC362" s="35">
        <f>ROUND(IF(AQ362="1",BI362,0),2)</f>
        <v>0</v>
      </c>
      <c r="AD362" s="35">
        <f>ROUND(IF(AQ362="7",BH362,0),2)</f>
        <v>0</v>
      </c>
      <c r="AE362" s="35">
        <f>ROUND(IF(AQ362="7",BI362,0),2)</f>
        <v>0</v>
      </c>
      <c r="AF362" s="35">
        <f>ROUND(IF(AQ362="2",BH362,0),2)</f>
        <v>0</v>
      </c>
      <c r="AG362" s="35">
        <f>ROUND(IF(AQ362="2",BI362,0),2)</f>
        <v>0</v>
      </c>
      <c r="AH362" s="35">
        <f>ROUND(IF(AQ362="0",BJ362,0),2)</f>
        <v>0</v>
      </c>
      <c r="AI362" s="46" t="s">
        <v>92</v>
      </c>
      <c r="AJ362" s="35">
        <f>IF(AN362=0,I362,0)</f>
        <v>0</v>
      </c>
      <c r="AK362" s="35">
        <f>IF(AN362=12,I362,0)</f>
        <v>0</v>
      </c>
      <c r="AL362" s="35">
        <f>IF(AN362=21,I362,0)</f>
        <v>0</v>
      </c>
      <c r="AN362" s="35">
        <v>21</v>
      </c>
      <c r="AO362" s="35">
        <f>H362*0.901999727</f>
        <v>0</v>
      </c>
      <c r="AP362" s="35">
        <f>H362*(1-0.901999727)</f>
        <v>0</v>
      </c>
      <c r="AQ362" s="62" t="s">
        <v>127</v>
      </c>
      <c r="AV362" s="35">
        <f>ROUND(AW362+AX362,2)</f>
        <v>0</v>
      </c>
      <c r="AW362" s="35">
        <f>ROUND(G362*AO362,2)</f>
        <v>0</v>
      </c>
      <c r="AX362" s="35">
        <f>ROUND(G362*AP362,2)</f>
        <v>0</v>
      </c>
      <c r="AY362" s="62" t="s">
        <v>692</v>
      </c>
      <c r="AZ362" s="62" t="s">
        <v>810</v>
      </c>
      <c r="BA362" s="46" t="s">
        <v>790</v>
      </c>
      <c r="BC362" s="35">
        <f>AW362+AX362</f>
        <v>0</v>
      </c>
      <c r="BD362" s="35">
        <f>H362/(100-BE362)*100</f>
        <v>0</v>
      </c>
      <c r="BE362" s="35">
        <v>0</v>
      </c>
      <c r="BF362" s="35">
        <f>362</f>
        <v>362</v>
      </c>
      <c r="BH362" s="35">
        <f>G362*AO362</f>
        <v>0</v>
      </c>
      <c r="BI362" s="35">
        <f>G362*AP362</f>
        <v>0</v>
      </c>
      <c r="BJ362" s="35">
        <f>G362*H362</f>
        <v>0</v>
      </c>
      <c r="BK362" s="62" t="s">
        <v>135</v>
      </c>
      <c r="BL362" s="35">
        <v>27</v>
      </c>
      <c r="BW362" s="35">
        <v>21</v>
      </c>
      <c r="BX362" s="3" t="s">
        <v>809</v>
      </c>
    </row>
    <row r="363" spans="1:76">
      <c r="A363" s="68"/>
      <c r="D363" s="69" t="s">
        <v>811</v>
      </c>
      <c r="E363" s="70" t="s">
        <v>4</v>
      </c>
      <c r="G363" s="71">
        <v>2.4300000000000002</v>
      </c>
      <c r="K363" s="51"/>
    </row>
    <row r="364" spans="1:76">
      <c r="A364" s="68"/>
      <c r="D364" s="69" t="s">
        <v>812</v>
      </c>
      <c r="E364" s="70" t="s">
        <v>4</v>
      </c>
      <c r="G364" s="71">
        <v>2.1869999999999998</v>
      </c>
      <c r="K364" s="51"/>
    </row>
    <row r="365" spans="1:76">
      <c r="A365" s="1" t="s">
        <v>813</v>
      </c>
      <c r="B365" s="2" t="s">
        <v>92</v>
      </c>
      <c r="C365" s="2" t="s">
        <v>814</v>
      </c>
      <c r="D365" s="92" t="s">
        <v>815</v>
      </c>
      <c r="E365" s="87"/>
      <c r="F365" s="2" t="s">
        <v>206</v>
      </c>
      <c r="G365" s="35">
        <v>2.1999999999999999E-2</v>
      </c>
      <c r="H365" s="61">
        <v>0</v>
      </c>
      <c r="I365" s="35">
        <f>ROUND(G365*H365,2)</f>
        <v>0</v>
      </c>
      <c r="K365" s="51"/>
      <c r="Z365" s="35">
        <f>ROUND(IF(AQ365="5",BJ365,0),2)</f>
        <v>0</v>
      </c>
      <c r="AB365" s="35">
        <f>ROUND(IF(AQ365="1",BH365,0),2)</f>
        <v>0</v>
      </c>
      <c r="AC365" s="35">
        <f>ROUND(IF(AQ365="1",BI365,0),2)</f>
        <v>0</v>
      </c>
      <c r="AD365" s="35">
        <f>ROUND(IF(AQ365="7",BH365,0),2)</f>
        <v>0</v>
      </c>
      <c r="AE365" s="35">
        <f>ROUND(IF(AQ365="7",BI365,0),2)</f>
        <v>0</v>
      </c>
      <c r="AF365" s="35">
        <f>ROUND(IF(AQ365="2",BH365,0),2)</f>
        <v>0</v>
      </c>
      <c r="AG365" s="35">
        <f>ROUND(IF(AQ365="2",BI365,0),2)</f>
        <v>0</v>
      </c>
      <c r="AH365" s="35">
        <f>ROUND(IF(AQ365="0",BJ365,0),2)</f>
        <v>0</v>
      </c>
      <c r="AI365" s="46" t="s">
        <v>92</v>
      </c>
      <c r="AJ365" s="35">
        <f>IF(AN365=0,I365,0)</f>
        <v>0</v>
      </c>
      <c r="AK365" s="35">
        <f>IF(AN365=12,I365,0)</f>
        <v>0</v>
      </c>
      <c r="AL365" s="35">
        <f>IF(AN365=21,I365,0)</f>
        <v>0</v>
      </c>
      <c r="AN365" s="35">
        <v>21</v>
      </c>
      <c r="AO365" s="35">
        <f>H365*0.6009217</f>
        <v>0</v>
      </c>
      <c r="AP365" s="35">
        <f>H365*(1-0.6009217)</f>
        <v>0</v>
      </c>
      <c r="AQ365" s="62" t="s">
        <v>127</v>
      </c>
      <c r="AV365" s="35">
        <f>ROUND(AW365+AX365,2)</f>
        <v>0</v>
      </c>
      <c r="AW365" s="35">
        <f>ROUND(G365*AO365,2)</f>
        <v>0</v>
      </c>
      <c r="AX365" s="35">
        <f>ROUND(G365*AP365,2)</f>
        <v>0</v>
      </c>
      <c r="AY365" s="62" t="s">
        <v>692</v>
      </c>
      <c r="AZ365" s="62" t="s">
        <v>810</v>
      </c>
      <c r="BA365" s="46" t="s">
        <v>790</v>
      </c>
      <c r="BC365" s="35">
        <f>AW365+AX365</f>
        <v>0</v>
      </c>
      <c r="BD365" s="35">
        <f>H365/(100-BE365)*100</f>
        <v>0</v>
      </c>
      <c r="BE365" s="35">
        <v>0</v>
      </c>
      <c r="BF365" s="35">
        <f>365</f>
        <v>365</v>
      </c>
      <c r="BH365" s="35">
        <f>G365*AO365</f>
        <v>0</v>
      </c>
      <c r="BI365" s="35">
        <f>G365*AP365</f>
        <v>0</v>
      </c>
      <c r="BJ365" s="35">
        <f>G365*H365</f>
        <v>0</v>
      </c>
      <c r="BK365" s="62" t="s">
        <v>135</v>
      </c>
      <c r="BL365" s="35">
        <v>27</v>
      </c>
      <c r="BW365" s="35">
        <v>21</v>
      </c>
      <c r="BX365" s="3" t="s">
        <v>815</v>
      </c>
    </row>
    <row r="366" spans="1:76">
      <c r="A366" s="68"/>
      <c r="D366" s="69" t="s">
        <v>816</v>
      </c>
      <c r="E366" s="70" t="s">
        <v>4</v>
      </c>
      <c r="G366" s="71">
        <v>2.1999999999999999E-2</v>
      </c>
      <c r="K366" s="51"/>
    </row>
    <row r="367" spans="1:76">
      <c r="A367" s="1" t="s">
        <v>817</v>
      </c>
      <c r="B367" s="2" t="s">
        <v>92</v>
      </c>
      <c r="C367" s="2" t="s">
        <v>818</v>
      </c>
      <c r="D367" s="92" t="s">
        <v>819</v>
      </c>
      <c r="E367" s="87"/>
      <c r="F367" s="2" t="s">
        <v>223</v>
      </c>
      <c r="G367" s="35">
        <v>0.39400000000000002</v>
      </c>
      <c r="H367" s="61">
        <v>0</v>
      </c>
      <c r="I367" s="35">
        <f>ROUND(G367*H367,2)</f>
        <v>0</v>
      </c>
      <c r="K367" s="51"/>
      <c r="Z367" s="35">
        <f>ROUND(IF(AQ367="5",BJ367,0),2)</f>
        <v>0</v>
      </c>
      <c r="AB367" s="35">
        <f>ROUND(IF(AQ367="1",BH367,0),2)</f>
        <v>0</v>
      </c>
      <c r="AC367" s="35">
        <f>ROUND(IF(AQ367="1",BI367,0),2)</f>
        <v>0</v>
      </c>
      <c r="AD367" s="35">
        <f>ROUND(IF(AQ367="7",BH367,0),2)</f>
        <v>0</v>
      </c>
      <c r="AE367" s="35">
        <f>ROUND(IF(AQ367="7",BI367,0),2)</f>
        <v>0</v>
      </c>
      <c r="AF367" s="35">
        <f>ROUND(IF(AQ367="2",BH367,0),2)</f>
        <v>0</v>
      </c>
      <c r="AG367" s="35">
        <f>ROUND(IF(AQ367="2",BI367,0),2)</f>
        <v>0</v>
      </c>
      <c r="AH367" s="35">
        <f>ROUND(IF(AQ367="0",BJ367,0),2)</f>
        <v>0</v>
      </c>
      <c r="AI367" s="46" t="s">
        <v>92</v>
      </c>
      <c r="AJ367" s="35">
        <f>IF(AN367=0,I367,0)</f>
        <v>0</v>
      </c>
      <c r="AK367" s="35">
        <f>IF(AN367=12,I367,0)</f>
        <v>0</v>
      </c>
      <c r="AL367" s="35">
        <f>IF(AN367=21,I367,0)</f>
        <v>0</v>
      </c>
      <c r="AN367" s="35">
        <v>21</v>
      </c>
      <c r="AO367" s="35">
        <f>H367*0.920299017</f>
        <v>0</v>
      </c>
      <c r="AP367" s="35">
        <f>H367*(1-0.920299017)</f>
        <v>0</v>
      </c>
      <c r="AQ367" s="62" t="s">
        <v>127</v>
      </c>
      <c r="AV367" s="35">
        <f>ROUND(AW367+AX367,2)</f>
        <v>0</v>
      </c>
      <c r="AW367" s="35">
        <f>ROUND(G367*AO367,2)</f>
        <v>0</v>
      </c>
      <c r="AX367" s="35">
        <f>ROUND(G367*AP367,2)</f>
        <v>0</v>
      </c>
      <c r="AY367" s="62" t="s">
        <v>692</v>
      </c>
      <c r="AZ367" s="62" t="s">
        <v>810</v>
      </c>
      <c r="BA367" s="46" t="s">
        <v>790</v>
      </c>
      <c r="BC367" s="35">
        <f>AW367+AX367</f>
        <v>0</v>
      </c>
      <c r="BD367" s="35">
        <f>H367/(100-BE367)*100</f>
        <v>0</v>
      </c>
      <c r="BE367" s="35">
        <v>0</v>
      </c>
      <c r="BF367" s="35">
        <f>367</f>
        <v>367</v>
      </c>
      <c r="BH367" s="35">
        <f>G367*AO367</f>
        <v>0</v>
      </c>
      <c r="BI367" s="35">
        <f>G367*AP367</f>
        <v>0</v>
      </c>
      <c r="BJ367" s="35">
        <f>G367*H367</f>
        <v>0</v>
      </c>
      <c r="BK367" s="62" t="s">
        <v>135</v>
      </c>
      <c r="BL367" s="35">
        <v>27</v>
      </c>
      <c r="BW367" s="35">
        <v>21</v>
      </c>
      <c r="BX367" s="3" t="s">
        <v>819</v>
      </c>
    </row>
    <row r="368" spans="1:76">
      <c r="A368" s="68"/>
      <c r="D368" s="69" t="s">
        <v>820</v>
      </c>
      <c r="E368" s="70" t="s">
        <v>792</v>
      </c>
      <c r="G368" s="71">
        <v>0.28100000000000003</v>
      </c>
      <c r="K368" s="51"/>
    </row>
    <row r="369" spans="1:76">
      <c r="A369" s="68"/>
      <c r="D369" s="69" t="s">
        <v>821</v>
      </c>
      <c r="E369" s="70" t="s">
        <v>4</v>
      </c>
      <c r="G369" s="71">
        <v>0.113</v>
      </c>
      <c r="K369" s="51"/>
    </row>
    <row r="370" spans="1:76">
      <c r="A370" s="1" t="s">
        <v>822</v>
      </c>
      <c r="B370" s="2" t="s">
        <v>92</v>
      </c>
      <c r="C370" s="2" t="s">
        <v>823</v>
      </c>
      <c r="D370" s="92" t="s">
        <v>824</v>
      </c>
      <c r="E370" s="87"/>
      <c r="F370" s="2" t="s">
        <v>192</v>
      </c>
      <c r="G370" s="35">
        <v>6.3</v>
      </c>
      <c r="H370" s="61">
        <v>0</v>
      </c>
      <c r="I370" s="35">
        <f>ROUND(G370*H370,2)</f>
        <v>0</v>
      </c>
      <c r="K370" s="51"/>
      <c r="Z370" s="35">
        <f>ROUND(IF(AQ370="5",BJ370,0),2)</f>
        <v>0</v>
      </c>
      <c r="AB370" s="35">
        <f>ROUND(IF(AQ370="1",BH370,0),2)</f>
        <v>0</v>
      </c>
      <c r="AC370" s="35">
        <f>ROUND(IF(AQ370="1",BI370,0),2)</f>
        <v>0</v>
      </c>
      <c r="AD370" s="35">
        <f>ROUND(IF(AQ370="7",BH370,0),2)</f>
        <v>0</v>
      </c>
      <c r="AE370" s="35">
        <f>ROUND(IF(AQ370="7",BI370,0),2)</f>
        <v>0</v>
      </c>
      <c r="AF370" s="35">
        <f>ROUND(IF(AQ370="2",BH370,0),2)</f>
        <v>0</v>
      </c>
      <c r="AG370" s="35">
        <f>ROUND(IF(AQ370="2",BI370,0),2)</f>
        <v>0</v>
      </c>
      <c r="AH370" s="35">
        <f>ROUND(IF(AQ370="0",BJ370,0),2)</f>
        <v>0</v>
      </c>
      <c r="AI370" s="46" t="s">
        <v>92</v>
      </c>
      <c r="AJ370" s="35">
        <f>IF(AN370=0,I370,0)</f>
        <v>0</v>
      </c>
      <c r="AK370" s="35">
        <f>IF(AN370=12,I370,0)</f>
        <v>0</v>
      </c>
      <c r="AL370" s="35">
        <f>IF(AN370=21,I370,0)</f>
        <v>0</v>
      </c>
      <c r="AN370" s="35">
        <v>21</v>
      </c>
      <c r="AO370" s="35">
        <f>H370*0.335350242</f>
        <v>0</v>
      </c>
      <c r="AP370" s="35">
        <f>H370*(1-0.335350242)</f>
        <v>0</v>
      </c>
      <c r="AQ370" s="62" t="s">
        <v>127</v>
      </c>
      <c r="AV370" s="35">
        <f>ROUND(AW370+AX370,2)</f>
        <v>0</v>
      </c>
      <c r="AW370" s="35">
        <f>ROUND(G370*AO370,2)</f>
        <v>0</v>
      </c>
      <c r="AX370" s="35">
        <f>ROUND(G370*AP370,2)</f>
        <v>0</v>
      </c>
      <c r="AY370" s="62" t="s">
        <v>692</v>
      </c>
      <c r="AZ370" s="62" t="s">
        <v>810</v>
      </c>
      <c r="BA370" s="46" t="s">
        <v>790</v>
      </c>
      <c r="BC370" s="35">
        <f>AW370+AX370</f>
        <v>0</v>
      </c>
      <c r="BD370" s="35">
        <f>H370/(100-BE370)*100</f>
        <v>0</v>
      </c>
      <c r="BE370" s="35">
        <v>0</v>
      </c>
      <c r="BF370" s="35">
        <f>370</f>
        <v>370</v>
      </c>
      <c r="BH370" s="35">
        <f>G370*AO370</f>
        <v>0</v>
      </c>
      <c r="BI370" s="35">
        <f>G370*AP370</f>
        <v>0</v>
      </c>
      <c r="BJ370" s="35">
        <f>G370*H370</f>
        <v>0</v>
      </c>
      <c r="BK370" s="62" t="s">
        <v>135</v>
      </c>
      <c r="BL370" s="35">
        <v>27</v>
      </c>
      <c r="BW370" s="35">
        <v>21</v>
      </c>
      <c r="BX370" s="3" t="s">
        <v>824</v>
      </c>
    </row>
    <row r="371" spans="1:76">
      <c r="A371" s="68"/>
      <c r="D371" s="69" t="s">
        <v>825</v>
      </c>
      <c r="E371" s="70" t="s">
        <v>792</v>
      </c>
      <c r="G371" s="71">
        <v>4.5</v>
      </c>
      <c r="K371" s="51"/>
    </row>
    <row r="372" spans="1:76">
      <c r="A372" s="68"/>
      <c r="D372" s="69" t="s">
        <v>826</v>
      </c>
      <c r="E372" s="70" t="s">
        <v>4</v>
      </c>
      <c r="G372" s="71">
        <v>1.8</v>
      </c>
      <c r="K372" s="51"/>
    </row>
    <row r="373" spans="1:76">
      <c r="A373" s="1" t="s">
        <v>827</v>
      </c>
      <c r="B373" s="2" t="s">
        <v>92</v>
      </c>
      <c r="C373" s="2" t="s">
        <v>828</v>
      </c>
      <c r="D373" s="92" t="s">
        <v>829</v>
      </c>
      <c r="E373" s="87"/>
      <c r="F373" s="2" t="s">
        <v>192</v>
      </c>
      <c r="G373" s="35">
        <v>6.3</v>
      </c>
      <c r="H373" s="61">
        <v>0</v>
      </c>
      <c r="I373" s="35">
        <f>ROUND(G373*H373,2)</f>
        <v>0</v>
      </c>
      <c r="K373" s="51"/>
      <c r="Z373" s="35">
        <f>ROUND(IF(AQ373="5",BJ373,0),2)</f>
        <v>0</v>
      </c>
      <c r="AB373" s="35">
        <f>ROUND(IF(AQ373="1",BH373,0),2)</f>
        <v>0</v>
      </c>
      <c r="AC373" s="35">
        <f>ROUND(IF(AQ373="1",BI373,0),2)</f>
        <v>0</v>
      </c>
      <c r="AD373" s="35">
        <f>ROUND(IF(AQ373="7",BH373,0),2)</f>
        <v>0</v>
      </c>
      <c r="AE373" s="35">
        <f>ROUND(IF(AQ373="7",BI373,0),2)</f>
        <v>0</v>
      </c>
      <c r="AF373" s="35">
        <f>ROUND(IF(AQ373="2",BH373,0),2)</f>
        <v>0</v>
      </c>
      <c r="AG373" s="35">
        <f>ROUND(IF(AQ373="2",BI373,0),2)</f>
        <v>0</v>
      </c>
      <c r="AH373" s="35">
        <f>ROUND(IF(AQ373="0",BJ373,0),2)</f>
        <v>0</v>
      </c>
      <c r="AI373" s="46" t="s">
        <v>92</v>
      </c>
      <c r="AJ373" s="35">
        <f>IF(AN373=0,I373,0)</f>
        <v>0</v>
      </c>
      <c r="AK373" s="35">
        <f>IF(AN373=12,I373,0)</f>
        <v>0</v>
      </c>
      <c r="AL373" s="35">
        <f>IF(AN373=21,I373,0)</f>
        <v>0</v>
      </c>
      <c r="AN373" s="35">
        <v>21</v>
      </c>
      <c r="AO373" s="35">
        <f>H373*0</f>
        <v>0</v>
      </c>
      <c r="AP373" s="35">
        <f>H373*(1-0)</f>
        <v>0</v>
      </c>
      <c r="AQ373" s="62" t="s">
        <v>127</v>
      </c>
      <c r="AV373" s="35">
        <f>ROUND(AW373+AX373,2)</f>
        <v>0</v>
      </c>
      <c r="AW373" s="35">
        <f>ROUND(G373*AO373,2)</f>
        <v>0</v>
      </c>
      <c r="AX373" s="35">
        <f>ROUND(G373*AP373,2)</f>
        <v>0</v>
      </c>
      <c r="AY373" s="62" t="s">
        <v>692</v>
      </c>
      <c r="AZ373" s="62" t="s">
        <v>810</v>
      </c>
      <c r="BA373" s="46" t="s">
        <v>790</v>
      </c>
      <c r="BC373" s="35">
        <f>AW373+AX373</f>
        <v>0</v>
      </c>
      <c r="BD373" s="35">
        <f>H373/(100-BE373)*100</f>
        <v>0</v>
      </c>
      <c r="BE373" s="35">
        <v>0</v>
      </c>
      <c r="BF373" s="35">
        <f>373</f>
        <v>373</v>
      </c>
      <c r="BH373" s="35">
        <f>G373*AO373</f>
        <v>0</v>
      </c>
      <c r="BI373" s="35">
        <f>G373*AP373</f>
        <v>0</v>
      </c>
      <c r="BJ373" s="35">
        <f>G373*H373</f>
        <v>0</v>
      </c>
      <c r="BK373" s="62" t="s">
        <v>135</v>
      </c>
      <c r="BL373" s="35">
        <v>27</v>
      </c>
      <c r="BW373" s="35">
        <v>21</v>
      </c>
      <c r="BX373" s="3" t="s">
        <v>829</v>
      </c>
    </row>
    <row r="374" spans="1:76">
      <c r="A374" s="57" t="s">
        <v>4</v>
      </c>
      <c r="B374" s="58" t="s">
        <v>92</v>
      </c>
      <c r="C374" s="58" t="s">
        <v>534</v>
      </c>
      <c r="D374" s="174" t="s">
        <v>830</v>
      </c>
      <c r="E374" s="175"/>
      <c r="F374" s="59" t="s">
        <v>79</v>
      </c>
      <c r="G374" s="59" t="s">
        <v>79</v>
      </c>
      <c r="H374" s="60" t="s">
        <v>79</v>
      </c>
      <c r="I374" s="40">
        <f>SUM(I375:I386)</f>
        <v>0</v>
      </c>
      <c r="K374" s="51"/>
      <c r="AI374" s="46" t="s">
        <v>92</v>
      </c>
      <c r="AS374" s="40">
        <f>SUM(AJ375:AJ386)</f>
        <v>0</v>
      </c>
      <c r="AT374" s="40">
        <f>SUM(AK375:AK386)</f>
        <v>0</v>
      </c>
      <c r="AU374" s="40">
        <f>SUM(AL375:AL386)</f>
        <v>0</v>
      </c>
    </row>
    <row r="375" spans="1:76">
      <c r="A375" s="1" t="s">
        <v>831</v>
      </c>
      <c r="B375" s="2" t="s">
        <v>92</v>
      </c>
      <c r="C375" s="2" t="s">
        <v>832</v>
      </c>
      <c r="D375" s="92" t="s">
        <v>833</v>
      </c>
      <c r="E375" s="87"/>
      <c r="F375" s="2" t="s">
        <v>321</v>
      </c>
      <c r="G375" s="35">
        <v>13</v>
      </c>
      <c r="H375" s="61">
        <v>0</v>
      </c>
      <c r="I375" s="35">
        <f>ROUND(G375*H375,2)</f>
        <v>0</v>
      </c>
      <c r="K375" s="51"/>
      <c r="Z375" s="35">
        <f>ROUND(IF(AQ375="5",BJ375,0),2)</f>
        <v>0</v>
      </c>
      <c r="AB375" s="35">
        <f>ROUND(IF(AQ375="1",BH375,0),2)</f>
        <v>0</v>
      </c>
      <c r="AC375" s="35">
        <f>ROUND(IF(AQ375="1",BI375,0),2)</f>
        <v>0</v>
      </c>
      <c r="AD375" s="35">
        <f>ROUND(IF(AQ375="7",BH375,0),2)</f>
        <v>0</v>
      </c>
      <c r="AE375" s="35">
        <f>ROUND(IF(AQ375="7",BI375,0),2)</f>
        <v>0</v>
      </c>
      <c r="AF375" s="35">
        <f>ROUND(IF(AQ375="2",BH375,0),2)</f>
        <v>0</v>
      </c>
      <c r="AG375" s="35">
        <f>ROUND(IF(AQ375="2",BI375,0),2)</f>
        <v>0</v>
      </c>
      <c r="AH375" s="35">
        <f>ROUND(IF(AQ375="0",BJ375,0),2)</f>
        <v>0</v>
      </c>
      <c r="AI375" s="46" t="s">
        <v>92</v>
      </c>
      <c r="AJ375" s="35">
        <f>IF(AN375=0,I375,0)</f>
        <v>0</v>
      </c>
      <c r="AK375" s="35">
        <f>IF(AN375=12,I375,0)</f>
        <v>0</v>
      </c>
      <c r="AL375" s="35">
        <f>IF(AN375=21,I375,0)</f>
        <v>0</v>
      </c>
      <c r="AN375" s="35">
        <v>21</v>
      </c>
      <c r="AO375" s="35">
        <f>H375*0.025087719</f>
        <v>0</v>
      </c>
      <c r="AP375" s="35">
        <f>H375*(1-0.025087719)</f>
        <v>0</v>
      </c>
      <c r="AQ375" s="62" t="s">
        <v>127</v>
      </c>
      <c r="AV375" s="35">
        <f>ROUND(AW375+AX375,2)</f>
        <v>0</v>
      </c>
      <c r="AW375" s="35">
        <f>ROUND(G375*AO375,2)</f>
        <v>0</v>
      </c>
      <c r="AX375" s="35">
        <f>ROUND(G375*AP375,2)</f>
        <v>0</v>
      </c>
      <c r="AY375" s="62" t="s">
        <v>834</v>
      </c>
      <c r="AZ375" s="62" t="s">
        <v>835</v>
      </c>
      <c r="BA375" s="46" t="s">
        <v>790</v>
      </c>
      <c r="BC375" s="35">
        <f>AW375+AX375</f>
        <v>0</v>
      </c>
      <c r="BD375" s="35">
        <f>H375/(100-BE375)*100</f>
        <v>0</v>
      </c>
      <c r="BE375" s="35">
        <v>0</v>
      </c>
      <c r="BF375" s="35">
        <f>375</f>
        <v>375</v>
      </c>
      <c r="BH375" s="35">
        <f>G375*AO375</f>
        <v>0</v>
      </c>
      <c r="BI375" s="35">
        <f>G375*AP375</f>
        <v>0</v>
      </c>
      <c r="BJ375" s="35">
        <f>G375*H375</f>
        <v>0</v>
      </c>
      <c r="BK375" s="62" t="s">
        <v>135</v>
      </c>
      <c r="BL375" s="35">
        <v>95</v>
      </c>
      <c r="BW375" s="35">
        <v>21</v>
      </c>
      <c r="BX375" s="3" t="s">
        <v>833</v>
      </c>
    </row>
    <row r="376" spans="1:76">
      <c r="A376" s="1" t="s">
        <v>836</v>
      </c>
      <c r="B376" s="2" t="s">
        <v>92</v>
      </c>
      <c r="C376" s="2" t="s">
        <v>837</v>
      </c>
      <c r="D376" s="92" t="s">
        <v>838</v>
      </c>
      <c r="E376" s="87"/>
      <c r="F376" s="2" t="s">
        <v>321</v>
      </c>
      <c r="G376" s="35">
        <v>13</v>
      </c>
      <c r="H376" s="61">
        <v>0</v>
      </c>
      <c r="I376" s="35">
        <f>ROUND(G376*H376,2)</f>
        <v>0</v>
      </c>
      <c r="K376" s="51"/>
      <c r="Z376" s="35">
        <f>ROUND(IF(AQ376="5",BJ376,0),2)</f>
        <v>0</v>
      </c>
      <c r="AB376" s="35">
        <f>ROUND(IF(AQ376="1",BH376,0),2)</f>
        <v>0</v>
      </c>
      <c r="AC376" s="35">
        <f>ROUND(IF(AQ376="1",BI376,0),2)</f>
        <v>0</v>
      </c>
      <c r="AD376" s="35">
        <f>ROUND(IF(AQ376="7",BH376,0),2)</f>
        <v>0</v>
      </c>
      <c r="AE376" s="35">
        <f>ROUND(IF(AQ376="7",BI376,0),2)</f>
        <v>0</v>
      </c>
      <c r="AF376" s="35">
        <f>ROUND(IF(AQ376="2",BH376,0),2)</f>
        <v>0</v>
      </c>
      <c r="AG376" s="35">
        <f>ROUND(IF(AQ376="2",BI376,0),2)</f>
        <v>0</v>
      </c>
      <c r="AH376" s="35">
        <f>ROUND(IF(AQ376="0",BJ376,0),2)</f>
        <v>0</v>
      </c>
      <c r="AI376" s="46" t="s">
        <v>92</v>
      </c>
      <c r="AJ376" s="35">
        <f>IF(AN376=0,I376,0)</f>
        <v>0</v>
      </c>
      <c r="AK376" s="35">
        <f>IF(AN376=12,I376,0)</f>
        <v>0</v>
      </c>
      <c r="AL376" s="35">
        <f>IF(AN376=21,I376,0)</f>
        <v>0</v>
      </c>
      <c r="AN376" s="35">
        <v>21</v>
      </c>
      <c r="AO376" s="35">
        <f>H376*1</f>
        <v>0</v>
      </c>
      <c r="AP376" s="35">
        <f>H376*(1-1)</f>
        <v>0</v>
      </c>
      <c r="AQ376" s="62" t="s">
        <v>127</v>
      </c>
      <c r="AV376" s="35">
        <f>ROUND(AW376+AX376,2)</f>
        <v>0</v>
      </c>
      <c r="AW376" s="35">
        <f>ROUND(G376*AO376,2)</f>
        <v>0</v>
      </c>
      <c r="AX376" s="35">
        <f>ROUND(G376*AP376,2)</f>
        <v>0</v>
      </c>
      <c r="AY376" s="62" t="s">
        <v>834</v>
      </c>
      <c r="AZ376" s="62" t="s">
        <v>835</v>
      </c>
      <c r="BA376" s="46" t="s">
        <v>790</v>
      </c>
      <c r="BC376" s="35">
        <f>AW376+AX376</f>
        <v>0</v>
      </c>
      <c r="BD376" s="35">
        <f>H376/(100-BE376)*100</f>
        <v>0</v>
      </c>
      <c r="BE376" s="35">
        <v>0</v>
      </c>
      <c r="BF376" s="35">
        <f>376</f>
        <v>376</v>
      </c>
      <c r="BH376" s="35">
        <f>G376*AO376</f>
        <v>0</v>
      </c>
      <c r="BI376" s="35">
        <f>G376*AP376</f>
        <v>0</v>
      </c>
      <c r="BJ376" s="35">
        <f>G376*H376</f>
        <v>0</v>
      </c>
      <c r="BK376" s="62" t="s">
        <v>277</v>
      </c>
      <c r="BL376" s="35">
        <v>95</v>
      </c>
      <c r="BW376" s="35">
        <v>21</v>
      </c>
      <c r="BX376" s="3" t="s">
        <v>838</v>
      </c>
    </row>
    <row r="377" spans="1:76">
      <c r="A377" s="1" t="s">
        <v>839</v>
      </c>
      <c r="B377" s="2" t="s">
        <v>92</v>
      </c>
      <c r="C377" s="2" t="s">
        <v>779</v>
      </c>
      <c r="D377" s="92" t="s">
        <v>780</v>
      </c>
      <c r="E377" s="87"/>
      <c r="F377" s="2" t="s">
        <v>321</v>
      </c>
      <c r="G377" s="35">
        <v>52</v>
      </c>
      <c r="H377" s="61">
        <v>0</v>
      </c>
      <c r="I377" s="35">
        <f>ROUND(G377*H377,2)</f>
        <v>0</v>
      </c>
      <c r="K377" s="51"/>
      <c r="Z377" s="35">
        <f>ROUND(IF(AQ377="5",BJ377,0),2)</f>
        <v>0</v>
      </c>
      <c r="AB377" s="35">
        <f>ROUND(IF(AQ377="1",BH377,0),2)</f>
        <v>0</v>
      </c>
      <c r="AC377" s="35">
        <f>ROUND(IF(AQ377="1",BI377,0),2)</f>
        <v>0</v>
      </c>
      <c r="AD377" s="35">
        <f>ROUND(IF(AQ377="7",BH377,0),2)</f>
        <v>0</v>
      </c>
      <c r="AE377" s="35">
        <f>ROUND(IF(AQ377="7",BI377,0),2)</f>
        <v>0</v>
      </c>
      <c r="AF377" s="35">
        <f>ROUND(IF(AQ377="2",BH377,0),2)</f>
        <v>0</v>
      </c>
      <c r="AG377" s="35">
        <f>ROUND(IF(AQ377="2",BI377,0),2)</f>
        <v>0</v>
      </c>
      <c r="AH377" s="35">
        <f>ROUND(IF(AQ377="0",BJ377,0),2)</f>
        <v>0</v>
      </c>
      <c r="AI377" s="46" t="s">
        <v>92</v>
      </c>
      <c r="AJ377" s="35">
        <f>IF(AN377=0,I377,0)</f>
        <v>0</v>
      </c>
      <c r="AK377" s="35">
        <f>IF(AN377=12,I377,0)</f>
        <v>0</v>
      </c>
      <c r="AL377" s="35">
        <f>IF(AN377=21,I377,0)</f>
        <v>0</v>
      </c>
      <c r="AN377" s="35">
        <v>21</v>
      </c>
      <c r="AO377" s="35">
        <f>H377*0.535533981</f>
        <v>0</v>
      </c>
      <c r="AP377" s="35">
        <f>H377*(1-0.535533981)</f>
        <v>0</v>
      </c>
      <c r="AQ377" s="62" t="s">
        <v>127</v>
      </c>
      <c r="AV377" s="35">
        <f>ROUND(AW377+AX377,2)</f>
        <v>0</v>
      </c>
      <c r="AW377" s="35">
        <f>ROUND(G377*AO377,2)</f>
        <v>0</v>
      </c>
      <c r="AX377" s="35">
        <f>ROUND(G377*AP377,2)</f>
        <v>0</v>
      </c>
      <c r="AY377" s="62" t="s">
        <v>834</v>
      </c>
      <c r="AZ377" s="62" t="s">
        <v>835</v>
      </c>
      <c r="BA377" s="46" t="s">
        <v>790</v>
      </c>
      <c r="BC377" s="35">
        <f>AW377+AX377</f>
        <v>0</v>
      </c>
      <c r="BD377" s="35">
        <f>H377/(100-BE377)*100</f>
        <v>0</v>
      </c>
      <c r="BE377" s="35">
        <v>0</v>
      </c>
      <c r="BF377" s="35">
        <f>377</f>
        <v>377</v>
      </c>
      <c r="BH377" s="35">
        <f>G377*AO377</f>
        <v>0</v>
      </c>
      <c r="BI377" s="35">
        <f>G377*AP377</f>
        <v>0</v>
      </c>
      <c r="BJ377" s="35">
        <f>G377*H377</f>
        <v>0</v>
      </c>
      <c r="BK377" s="62" t="s">
        <v>135</v>
      </c>
      <c r="BL377" s="35">
        <v>95</v>
      </c>
      <c r="BW377" s="35">
        <v>21</v>
      </c>
      <c r="BX377" s="3" t="s">
        <v>780</v>
      </c>
    </row>
    <row r="378" spans="1:76">
      <c r="A378" s="68"/>
      <c r="D378" s="69" t="s">
        <v>840</v>
      </c>
      <c r="E378" s="70" t="s">
        <v>841</v>
      </c>
      <c r="G378" s="71">
        <v>32</v>
      </c>
      <c r="K378" s="51"/>
    </row>
    <row r="379" spans="1:76">
      <c r="A379" s="68"/>
      <c r="D379" s="69" t="s">
        <v>842</v>
      </c>
      <c r="E379" s="70" t="s">
        <v>843</v>
      </c>
      <c r="G379" s="71">
        <v>20</v>
      </c>
      <c r="K379" s="51"/>
    </row>
    <row r="380" spans="1:76">
      <c r="A380" s="1" t="s">
        <v>781</v>
      </c>
      <c r="B380" s="2" t="s">
        <v>92</v>
      </c>
      <c r="C380" s="2" t="s">
        <v>844</v>
      </c>
      <c r="D380" s="92" t="s">
        <v>845</v>
      </c>
      <c r="E380" s="87"/>
      <c r="F380" s="2" t="s">
        <v>321</v>
      </c>
      <c r="G380" s="35">
        <v>8</v>
      </c>
      <c r="H380" s="61">
        <v>0</v>
      </c>
      <c r="I380" s="35">
        <f t="shared" ref="I380:I386" si="43">ROUND(G380*H380,2)</f>
        <v>0</v>
      </c>
      <c r="K380" s="51"/>
      <c r="Z380" s="35">
        <f t="shared" ref="Z380:Z386" si="44">ROUND(IF(AQ380="5",BJ380,0),2)</f>
        <v>0</v>
      </c>
      <c r="AB380" s="35">
        <f t="shared" ref="AB380:AB386" si="45">ROUND(IF(AQ380="1",BH380,0),2)</f>
        <v>0</v>
      </c>
      <c r="AC380" s="35">
        <f t="shared" ref="AC380:AC386" si="46">ROUND(IF(AQ380="1",BI380,0),2)</f>
        <v>0</v>
      </c>
      <c r="AD380" s="35">
        <f t="shared" ref="AD380:AD386" si="47">ROUND(IF(AQ380="7",BH380,0),2)</f>
        <v>0</v>
      </c>
      <c r="AE380" s="35">
        <f t="shared" ref="AE380:AE386" si="48">ROUND(IF(AQ380="7",BI380,0),2)</f>
        <v>0</v>
      </c>
      <c r="AF380" s="35">
        <f t="shared" ref="AF380:AF386" si="49">ROUND(IF(AQ380="2",BH380,0),2)</f>
        <v>0</v>
      </c>
      <c r="AG380" s="35">
        <f t="shared" ref="AG380:AG386" si="50">ROUND(IF(AQ380="2",BI380,0),2)</f>
        <v>0</v>
      </c>
      <c r="AH380" s="35">
        <f t="shared" ref="AH380:AH386" si="51">ROUND(IF(AQ380="0",BJ380,0),2)</f>
        <v>0</v>
      </c>
      <c r="AI380" s="46" t="s">
        <v>92</v>
      </c>
      <c r="AJ380" s="35">
        <f t="shared" ref="AJ380:AJ386" si="52">IF(AN380=0,I380,0)</f>
        <v>0</v>
      </c>
      <c r="AK380" s="35">
        <f t="shared" ref="AK380:AK386" si="53">IF(AN380=12,I380,0)</f>
        <v>0</v>
      </c>
      <c r="AL380" s="35">
        <f t="shared" ref="AL380:AL386" si="54">IF(AN380=21,I380,0)</f>
        <v>0</v>
      </c>
      <c r="AN380" s="35">
        <v>21</v>
      </c>
      <c r="AO380" s="35">
        <f>H380*1</f>
        <v>0</v>
      </c>
      <c r="AP380" s="35">
        <f>H380*(1-1)</f>
        <v>0</v>
      </c>
      <c r="AQ380" s="62" t="s">
        <v>127</v>
      </c>
      <c r="AV380" s="35">
        <f t="shared" ref="AV380:AV386" si="55">ROUND(AW380+AX380,2)</f>
        <v>0</v>
      </c>
      <c r="AW380" s="35">
        <f t="shared" ref="AW380:AW386" si="56">ROUND(G380*AO380,2)</f>
        <v>0</v>
      </c>
      <c r="AX380" s="35">
        <f t="shared" ref="AX380:AX386" si="57">ROUND(G380*AP380,2)</f>
        <v>0</v>
      </c>
      <c r="AY380" s="62" t="s">
        <v>834</v>
      </c>
      <c r="AZ380" s="62" t="s">
        <v>835</v>
      </c>
      <c r="BA380" s="46" t="s">
        <v>790</v>
      </c>
      <c r="BC380" s="35">
        <f t="shared" ref="BC380:BC386" si="58">AW380+AX380</f>
        <v>0</v>
      </c>
      <c r="BD380" s="35">
        <f t="shared" ref="BD380:BD386" si="59">H380/(100-BE380)*100</f>
        <v>0</v>
      </c>
      <c r="BE380" s="35">
        <v>0</v>
      </c>
      <c r="BF380" s="35">
        <f>380</f>
        <v>380</v>
      </c>
      <c r="BH380" s="35">
        <f t="shared" ref="BH380:BH386" si="60">G380*AO380</f>
        <v>0</v>
      </c>
      <c r="BI380" s="35">
        <f t="shared" ref="BI380:BI386" si="61">G380*AP380</f>
        <v>0</v>
      </c>
      <c r="BJ380" s="35">
        <f t="shared" ref="BJ380:BJ386" si="62">G380*H380</f>
        <v>0</v>
      </c>
      <c r="BK380" s="62" t="s">
        <v>277</v>
      </c>
      <c r="BL380" s="35">
        <v>95</v>
      </c>
      <c r="BW380" s="35">
        <v>21</v>
      </c>
      <c r="BX380" s="3" t="s">
        <v>845</v>
      </c>
    </row>
    <row r="381" spans="1:76" ht="25.5">
      <c r="A381" s="1" t="s">
        <v>846</v>
      </c>
      <c r="B381" s="2" t="s">
        <v>92</v>
      </c>
      <c r="C381" s="2" t="s">
        <v>847</v>
      </c>
      <c r="D381" s="92" t="s">
        <v>848</v>
      </c>
      <c r="E381" s="87"/>
      <c r="F381" s="2" t="s">
        <v>321</v>
      </c>
      <c r="G381" s="35">
        <v>5</v>
      </c>
      <c r="H381" s="61">
        <v>0</v>
      </c>
      <c r="I381" s="35">
        <f t="shared" si="43"/>
        <v>0</v>
      </c>
      <c r="K381" s="51"/>
      <c r="Z381" s="35">
        <f t="shared" si="44"/>
        <v>0</v>
      </c>
      <c r="AB381" s="35">
        <f t="shared" si="45"/>
        <v>0</v>
      </c>
      <c r="AC381" s="35">
        <f t="shared" si="46"/>
        <v>0</v>
      </c>
      <c r="AD381" s="35">
        <f t="shared" si="47"/>
        <v>0</v>
      </c>
      <c r="AE381" s="35">
        <f t="shared" si="48"/>
        <v>0</v>
      </c>
      <c r="AF381" s="35">
        <f t="shared" si="49"/>
        <v>0</v>
      </c>
      <c r="AG381" s="35">
        <f t="shared" si="50"/>
        <v>0</v>
      </c>
      <c r="AH381" s="35">
        <f t="shared" si="51"/>
        <v>0</v>
      </c>
      <c r="AI381" s="46" t="s">
        <v>92</v>
      </c>
      <c r="AJ381" s="35">
        <f t="shared" si="52"/>
        <v>0</v>
      </c>
      <c r="AK381" s="35">
        <f t="shared" si="53"/>
        <v>0</v>
      </c>
      <c r="AL381" s="35">
        <f t="shared" si="54"/>
        <v>0</v>
      </c>
      <c r="AN381" s="35">
        <v>21</v>
      </c>
      <c r="AO381" s="35">
        <f>H381*1</f>
        <v>0</v>
      </c>
      <c r="AP381" s="35">
        <f>H381*(1-1)</f>
        <v>0</v>
      </c>
      <c r="AQ381" s="62" t="s">
        <v>127</v>
      </c>
      <c r="AV381" s="35">
        <f t="shared" si="55"/>
        <v>0</v>
      </c>
      <c r="AW381" s="35">
        <f t="shared" si="56"/>
        <v>0</v>
      </c>
      <c r="AX381" s="35">
        <f t="shared" si="57"/>
        <v>0</v>
      </c>
      <c r="AY381" s="62" t="s">
        <v>834</v>
      </c>
      <c r="AZ381" s="62" t="s">
        <v>835</v>
      </c>
      <c r="BA381" s="46" t="s">
        <v>790</v>
      </c>
      <c r="BC381" s="35">
        <f t="shared" si="58"/>
        <v>0</v>
      </c>
      <c r="BD381" s="35">
        <f t="shared" si="59"/>
        <v>0</v>
      </c>
      <c r="BE381" s="35">
        <v>0</v>
      </c>
      <c r="BF381" s="35">
        <f>381</f>
        <v>381</v>
      </c>
      <c r="BH381" s="35">
        <f t="shared" si="60"/>
        <v>0</v>
      </c>
      <c r="BI381" s="35">
        <f t="shared" si="61"/>
        <v>0</v>
      </c>
      <c r="BJ381" s="35">
        <f t="shared" si="62"/>
        <v>0</v>
      </c>
      <c r="BK381" s="62" t="s">
        <v>277</v>
      </c>
      <c r="BL381" s="35">
        <v>95</v>
      </c>
      <c r="BW381" s="35">
        <v>21</v>
      </c>
      <c r="BX381" s="3" t="s">
        <v>848</v>
      </c>
    </row>
    <row r="382" spans="1:76">
      <c r="A382" s="1" t="s">
        <v>849</v>
      </c>
      <c r="B382" s="2" t="s">
        <v>92</v>
      </c>
      <c r="C382" s="2" t="s">
        <v>850</v>
      </c>
      <c r="D382" s="92" t="s">
        <v>851</v>
      </c>
      <c r="E382" s="87"/>
      <c r="F382" s="2" t="s">
        <v>282</v>
      </c>
      <c r="G382" s="35">
        <v>27.4</v>
      </c>
      <c r="H382" s="61">
        <v>0</v>
      </c>
      <c r="I382" s="35">
        <f t="shared" si="43"/>
        <v>0</v>
      </c>
      <c r="K382" s="51"/>
      <c r="Z382" s="35">
        <f t="shared" si="44"/>
        <v>0</v>
      </c>
      <c r="AB382" s="35">
        <f t="shared" si="45"/>
        <v>0</v>
      </c>
      <c r="AC382" s="35">
        <f t="shared" si="46"/>
        <v>0</v>
      </c>
      <c r="AD382" s="35">
        <f t="shared" si="47"/>
        <v>0</v>
      </c>
      <c r="AE382" s="35">
        <f t="shared" si="48"/>
        <v>0</v>
      </c>
      <c r="AF382" s="35">
        <f t="shared" si="49"/>
        <v>0</v>
      </c>
      <c r="AG382" s="35">
        <f t="shared" si="50"/>
        <v>0</v>
      </c>
      <c r="AH382" s="35">
        <f t="shared" si="51"/>
        <v>0</v>
      </c>
      <c r="AI382" s="46" t="s">
        <v>92</v>
      </c>
      <c r="AJ382" s="35">
        <f t="shared" si="52"/>
        <v>0</v>
      </c>
      <c r="AK382" s="35">
        <f t="shared" si="53"/>
        <v>0</v>
      </c>
      <c r="AL382" s="35">
        <f t="shared" si="54"/>
        <v>0</v>
      </c>
      <c r="AN382" s="35">
        <v>21</v>
      </c>
      <c r="AO382" s="35">
        <f>H382*0</f>
        <v>0</v>
      </c>
      <c r="AP382" s="35">
        <f>H382*(1-0)</f>
        <v>0</v>
      </c>
      <c r="AQ382" s="62" t="s">
        <v>127</v>
      </c>
      <c r="AV382" s="35">
        <f t="shared" si="55"/>
        <v>0</v>
      </c>
      <c r="AW382" s="35">
        <f t="shared" si="56"/>
        <v>0</v>
      </c>
      <c r="AX382" s="35">
        <f t="shared" si="57"/>
        <v>0</v>
      </c>
      <c r="AY382" s="62" t="s">
        <v>834</v>
      </c>
      <c r="AZ382" s="62" t="s">
        <v>835</v>
      </c>
      <c r="BA382" s="46" t="s">
        <v>790</v>
      </c>
      <c r="BC382" s="35">
        <f t="shared" si="58"/>
        <v>0</v>
      </c>
      <c r="BD382" s="35">
        <f t="shared" si="59"/>
        <v>0</v>
      </c>
      <c r="BE382" s="35">
        <v>0</v>
      </c>
      <c r="BF382" s="35">
        <f>382</f>
        <v>382</v>
      </c>
      <c r="BH382" s="35">
        <f t="shared" si="60"/>
        <v>0</v>
      </c>
      <c r="BI382" s="35">
        <f t="shared" si="61"/>
        <v>0</v>
      </c>
      <c r="BJ382" s="35">
        <f t="shared" si="62"/>
        <v>0</v>
      </c>
      <c r="BK382" s="62" t="s">
        <v>135</v>
      </c>
      <c r="BL382" s="35">
        <v>95</v>
      </c>
      <c r="BW382" s="35">
        <v>21</v>
      </c>
      <c r="BX382" s="3" t="s">
        <v>851</v>
      </c>
    </row>
    <row r="383" spans="1:76">
      <c r="A383" s="1" t="s">
        <v>852</v>
      </c>
      <c r="B383" s="2" t="s">
        <v>92</v>
      </c>
      <c r="C383" s="2" t="s">
        <v>853</v>
      </c>
      <c r="D383" s="92" t="s">
        <v>854</v>
      </c>
      <c r="E383" s="87"/>
      <c r="F383" s="2" t="s">
        <v>855</v>
      </c>
      <c r="G383" s="35">
        <v>10</v>
      </c>
      <c r="H383" s="61">
        <v>0</v>
      </c>
      <c r="I383" s="35">
        <f t="shared" si="43"/>
        <v>0</v>
      </c>
      <c r="K383" s="51"/>
      <c r="Z383" s="35">
        <f t="shared" si="44"/>
        <v>0</v>
      </c>
      <c r="AB383" s="35">
        <f t="shared" si="45"/>
        <v>0</v>
      </c>
      <c r="AC383" s="35">
        <f t="shared" si="46"/>
        <v>0</v>
      </c>
      <c r="AD383" s="35">
        <f t="shared" si="47"/>
        <v>0</v>
      </c>
      <c r="AE383" s="35">
        <f t="shared" si="48"/>
        <v>0</v>
      </c>
      <c r="AF383" s="35">
        <f t="shared" si="49"/>
        <v>0</v>
      </c>
      <c r="AG383" s="35">
        <f t="shared" si="50"/>
        <v>0</v>
      </c>
      <c r="AH383" s="35">
        <f t="shared" si="51"/>
        <v>0</v>
      </c>
      <c r="AI383" s="46" t="s">
        <v>92</v>
      </c>
      <c r="AJ383" s="35">
        <f t="shared" si="52"/>
        <v>0</v>
      </c>
      <c r="AK383" s="35">
        <f t="shared" si="53"/>
        <v>0</v>
      </c>
      <c r="AL383" s="35">
        <f t="shared" si="54"/>
        <v>0</v>
      </c>
      <c r="AN383" s="35">
        <v>21</v>
      </c>
      <c r="AO383" s="35">
        <f>H383*1</f>
        <v>0</v>
      </c>
      <c r="AP383" s="35">
        <f>H383*(1-1)</f>
        <v>0</v>
      </c>
      <c r="AQ383" s="62" t="s">
        <v>127</v>
      </c>
      <c r="AV383" s="35">
        <f t="shared" si="55"/>
        <v>0</v>
      </c>
      <c r="AW383" s="35">
        <f t="shared" si="56"/>
        <v>0</v>
      </c>
      <c r="AX383" s="35">
        <f t="shared" si="57"/>
        <v>0</v>
      </c>
      <c r="AY383" s="62" t="s">
        <v>834</v>
      </c>
      <c r="AZ383" s="62" t="s">
        <v>835</v>
      </c>
      <c r="BA383" s="46" t="s">
        <v>790</v>
      </c>
      <c r="BC383" s="35">
        <f t="shared" si="58"/>
        <v>0</v>
      </c>
      <c r="BD383" s="35">
        <f t="shared" si="59"/>
        <v>0</v>
      </c>
      <c r="BE383" s="35">
        <v>0</v>
      </c>
      <c r="BF383" s="35">
        <f>383</f>
        <v>383</v>
      </c>
      <c r="BH383" s="35">
        <f t="shared" si="60"/>
        <v>0</v>
      </c>
      <c r="BI383" s="35">
        <f t="shared" si="61"/>
        <v>0</v>
      </c>
      <c r="BJ383" s="35">
        <f t="shared" si="62"/>
        <v>0</v>
      </c>
      <c r="BK383" s="62" t="s">
        <v>277</v>
      </c>
      <c r="BL383" s="35">
        <v>95</v>
      </c>
      <c r="BW383" s="35">
        <v>21</v>
      </c>
      <c r="BX383" s="3" t="s">
        <v>854</v>
      </c>
    </row>
    <row r="384" spans="1:76" ht="25.5">
      <c r="A384" s="1" t="s">
        <v>856</v>
      </c>
      <c r="B384" s="2" t="s">
        <v>92</v>
      </c>
      <c r="C384" s="2" t="s">
        <v>857</v>
      </c>
      <c r="D384" s="92" t="s">
        <v>858</v>
      </c>
      <c r="E384" s="87"/>
      <c r="F384" s="2" t="s">
        <v>855</v>
      </c>
      <c r="G384" s="35">
        <v>1</v>
      </c>
      <c r="H384" s="61">
        <v>0</v>
      </c>
      <c r="I384" s="35">
        <f t="shared" si="43"/>
        <v>0</v>
      </c>
      <c r="K384" s="51"/>
      <c r="Z384" s="35">
        <f t="shared" si="44"/>
        <v>0</v>
      </c>
      <c r="AB384" s="35">
        <f t="shared" si="45"/>
        <v>0</v>
      </c>
      <c r="AC384" s="35">
        <f t="shared" si="46"/>
        <v>0</v>
      </c>
      <c r="AD384" s="35">
        <f t="shared" si="47"/>
        <v>0</v>
      </c>
      <c r="AE384" s="35">
        <f t="shared" si="48"/>
        <v>0</v>
      </c>
      <c r="AF384" s="35">
        <f t="shared" si="49"/>
        <v>0</v>
      </c>
      <c r="AG384" s="35">
        <f t="shared" si="50"/>
        <v>0</v>
      </c>
      <c r="AH384" s="35">
        <f t="shared" si="51"/>
        <v>0</v>
      </c>
      <c r="AI384" s="46" t="s">
        <v>92</v>
      </c>
      <c r="AJ384" s="35">
        <f t="shared" si="52"/>
        <v>0</v>
      </c>
      <c r="AK384" s="35">
        <f t="shared" si="53"/>
        <v>0</v>
      </c>
      <c r="AL384" s="35">
        <f t="shared" si="54"/>
        <v>0</v>
      </c>
      <c r="AN384" s="35">
        <v>21</v>
      </c>
      <c r="AO384" s="35">
        <f>H384*1</f>
        <v>0</v>
      </c>
      <c r="AP384" s="35">
        <f>H384*(1-1)</f>
        <v>0</v>
      </c>
      <c r="AQ384" s="62" t="s">
        <v>127</v>
      </c>
      <c r="AV384" s="35">
        <f t="shared" si="55"/>
        <v>0</v>
      </c>
      <c r="AW384" s="35">
        <f t="shared" si="56"/>
        <v>0</v>
      </c>
      <c r="AX384" s="35">
        <f t="shared" si="57"/>
        <v>0</v>
      </c>
      <c r="AY384" s="62" t="s">
        <v>834</v>
      </c>
      <c r="AZ384" s="62" t="s">
        <v>835</v>
      </c>
      <c r="BA384" s="46" t="s">
        <v>790</v>
      </c>
      <c r="BC384" s="35">
        <f t="shared" si="58"/>
        <v>0</v>
      </c>
      <c r="BD384" s="35">
        <f t="shared" si="59"/>
        <v>0</v>
      </c>
      <c r="BE384" s="35">
        <v>0</v>
      </c>
      <c r="BF384" s="35">
        <f>384</f>
        <v>384</v>
      </c>
      <c r="BH384" s="35">
        <f t="shared" si="60"/>
        <v>0</v>
      </c>
      <c r="BI384" s="35">
        <f t="shared" si="61"/>
        <v>0</v>
      </c>
      <c r="BJ384" s="35">
        <f t="shared" si="62"/>
        <v>0</v>
      </c>
      <c r="BK384" s="62" t="s">
        <v>277</v>
      </c>
      <c r="BL384" s="35">
        <v>95</v>
      </c>
      <c r="BW384" s="35">
        <v>21</v>
      </c>
      <c r="BX384" s="3" t="s">
        <v>858</v>
      </c>
    </row>
    <row r="385" spans="1:76">
      <c r="A385" s="1" t="s">
        <v>859</v>
      </c>
      <c r="B385" s="2" t="s">
        <v>92</v>
      </c>
      <c r="C385" s="2" t="s">
        <v>860</v>
      </c>
      <c r="D385" s="92" t="s">
        <v>861</v>
      </c>
      <c r="E385" s="87"/>
      <c r="F385" s="2" t="s">
        <v>855</v>
      </c>
      <c r="G385" s="35">
        <v>1</v>
      </c>
      <c r="H385" s="61">
        <v>0</v>
      </c>
      <c r="I385" s="35">
        <f t="shared" si="43"/>
        <v>0</v>
      </c>
      <c r="K385" s="51"/>
      <c r="Z385" s="35">
        <f t="shared" si="44"/>
        <v>0</v>
      </c>
      <c r="AB385" s="35">
        <f t="shared" si="45"/>
        <v>0</v>
      </c>
      <c r="AC385" s="35">
        <f t="shared" si="46"/>
        <v>0</v>
      </c>
      <c r="AD385" s="35">
        <f t="shared" si="47"/>
        <v>0</v>
      </c>
      <c r="AE385" s="35">
        <f t="shared" si="48"/>
        <v>0</v>
      </c>
      <c r="AF385" s="35">
        <f t="shared" si="49"/>
        <v>0</v>
      </c>
      <c r="AG385" s="35">
        <f t="shared" si="50"/>
        <v>0</v>
      </c>
      <c r="AH385" s="35">
        <f t="shared" si="51"/>
        <v>0</v>
      </c>
      <c r="AI385" s="46" t="s">
        <v>92</v>
      </c>
      <c r="AJ385" s="35">
        <f t="shared" si="52"/>
        <v>0</v>
      </c>
      <c r="AK385" s="35">
        <f t="shared" si="53"/>
        <v>0</v>
      </c>
      <c r="AL385" s="35">
        <f t="shared" si="54"/>
        <v>0</v>
      </c>
      <c r="AN385" s="35">
        <v>21</v>
      </c>
      <c r="AO385" s="35">
        <f>H385*1</f>
        <v>0</v>
      </c>
      <c r="AP385" s="35">
        <f>H385*(1-1)</f>
        <v>0</v>
      </c>
      <c r="AQ385" s="62" t="s">
        <v>127</v>
      </c>
      <c r="AV385" s="35">
        <f t="shared" si="55"/>
        <v>0</v>
      </c>
      <c r="AW385" s="35">
        <f t="shared" si="56"/>
        <v>0</v>
      </c>
      <c r="AX385" s="35">
        <f t="shared" si="57"/>
        <v>0</v>
      </c>
      <c r="AY385" s="62" t="s">
        <v>834</v>
      </c>
      <c r="AZ385" s="62" t="s">
        <v>835</v>
      </c>
      <c r="BA385" s="46" t="s">
        <v>790</v>
      </c>
      <c r="BC385" s="35">
        <f t="shared" si="58"/>
        <v>0</v>
      </c>
      <c r="BD385" s="35">
        <f t="shared" si="59"/>
        <v>0</v>
      </c>
      <c r="BE385" s="35">
        <v>0</v>
      </c>
      <c r="BF385" s="35">
        <f>385</f>
        <v>385</v>
      </c>
      <c r="BH385" s="35">
        <f t="shared" si="60"/>
        <v>0</v>
      </c>
      <c r="BI385" s="35">
        <f t="shared" si="61"/>
        <v>0</v>
      </c>
      <c r="BJ385" s="35">
        <f t="shared" si="62"/>
        <v>0</v>
      </c>
      <c r="BK385" s="62" t="s">
        <v>277</v>
      </c>
      <c r="BL385" s="35">
        <v>95</v>
      </c>
      <c r="BW385" s="35">
        <v>21</v>
      </c>
      <c r="BX385" s="3" t="s">
        <v>861</v>
      </c>
    </row>
    <row r="386" spans="1:76">
      <c r="A386" s="1" t="s">
        <v>862</v>
      </c>
      <c r="B386" s="2" t="s">
        <v>92</v>
      </c>
      <c r="C386" s="2" t="s">
        <v>752</v>
      </c>
      <c r="D386" s="92" t="s">
        <v>863</v>
      </c>
      <c r="E386" s="87"/>
      <c r="F386" s="2" t="s">
        <v>206</v>
      </c>
      <c r="G386" s="35">
        <v>13.351000000000001</v>
      </c>
      <c r="H386" s="61">
        <v>0</v>
      </c>
      <c r="I386" s="35">
        <f t="shared" si="43"/>
        <v>0</v>
      </c>
      <c r="K386" s="51"/>
      <c r="Z386" s="35">
        <f t="shared" si="44"/>
        <v>0</v>
      </c>
      <c r="AB386" s="35">
        <f t="shared" si="45"/>
        <v>0</v>
      </c>
      <c r="AC386" s="35">
        <f t="shared" si="46"/>
        <v>0</v>
      </c>
      <c r="AD386" s="35">
        <f t="shared" si="47"/>
        <v>0</v>
      </c>
      <c r="AE386" s="35">
        <f t="shared" si="48"/>
        <v>0</v>
      </c>
      <c r="AF386" s="35">
        <f t="shared" si="49"/>
        <v>0</v>
      </c>
      <c r="AG386" s="35">
        <f t="shared" si="50"/>
        <v>0</v>
      </c>
      <c r="AH386" s="35">
        <f t="shared" si="51"/>
        <v>0</v>
      </c>
      <c r="AI386" s="46" t="s">
        <v>92</v>
      </c>
      <c r="AJ386" s="35">
        <f t="shared" si="52"/>
        <v>0</v>
      </c>
      <c r="AK386" s="35">
        <f t="shared" si="53"/>
        <v>0</v>
      </c>
      <c r="AL386" s="35">
        <f t="shared" si="54"/>
        <v>0</v>
      </c>
      <c r="AN386" s="35">
        <v>21</v>
      </c>
      <c r="AO386" s="35">
        <f>H386*0</f>
        <v>0</v>
      </c>
      <c r="AP386" s="35">
        <f>H386*(1-0)</f>
        <v>0</v>
      </c>
      <c r="AQ386" s="62" t="s">
        <v>145</v>
      </c>
      <c r="AV386" s="35">
        <f t="shared" si="55"/>
        <v>0</v>
      </c>
      <c r="AW386" s="35">
        <f t="shared" si="56"/>
        <v>0</v>
      </c>
      <c r="AX386" s="35">
        <f t="shared" si="57"/>
        <v>0</v>
      </c>
      <c r="AY386" s="62" t="s">
        <v>834</v>
      </c>
      <c r="AZ386" s="62" t="s">
        <v>835</v>
      </c>
      <c r="BA386" s="46" t="s">
        <v>790</v>
      </c>
      <c r="BC386" s="35">
        <f t="shared" si="58"/>
        <v>0</v>
      </c>
      <c r="BD386" s="35">
        <f t="shared" si="59"/>
        <v>0</v>
      </c>
      <c r="BE386" s="35">
        <v>0</v>
      </c>
      <c r="BF386" s="35">
        <f>386</f>
        <v>386</v>
      </c>
      <c r="BH386" s="35">
        <f t="shared" si="60"/>
        <v>0</v>
      </c>
      <c r="BI386" s="35">
        <f t="shared" si="61"/>
        <v>0</v>
      </c>
      <c r="BJ386" s="35">
        <f t="shared" si="62"/>
        <v>0</v>
      </c>
      <c r="BK386" s="62" t="s">
        <v>135</v>
      </c>
      <c r="BL386" s="35">
        <v>95</v>
      </c>
      <c r="BW386" s="35">
        <v>21</v>
      </c>
      <c r="BX386" s="3" t="s">
        <v>863</v>
      </c>
    </row>
    <row r="387" spans="1:76">
      <c r="A387" s="63" t="s">
        <v>4</v>
      </c>
      <c r="B387" s="64" t="s">
        <v>94</v>
      </c>
      <c r="C387" s="64" t="s">
        <v>4</v>
      </c>
      <c r="D387" s="176" t="s">
        <v>95</v>
      </c>
      <c r="E387" s="177"/>
      <c r="F387" s="65" t="s">
        <v>79</v>
      </c>
      <c r="G387" s="65" t="s">
        <v>79</v>
      </c>
      <c r="H387" s="66" t="s">
        <v>79</v>
      </c>
      <c r="I387" s="67">
        <f>I388+I470+I474+I490+I519+I524+I529+I537+I540+I548</f>
        <v>0</v>
      </c>
      <c r="K387" s="51"/>
    </row>
    <row r="388" spans="1:76">
      <c r="A388" s="57" t="s">
        <v>4</v>
      </c>
      <c r="B388" s="58" t="s">
        <v>94</v>
      </c>
      <c r="C388" s="58" t="s">
        <v>166</v>
      </c>
      <c r="D388" s="174" t="s">
        <v>630</v>
      </c>
      <c r="E388" s="175"/>
      <c r="F388" s="59" t="s">
        <v>79</v>
      </c>
      <c r="G388" s="59" t="s">
        <v>79</v>
      </c>
      <c r="H388" s="60" t="s">
        <v>79</v>
      </c>
      <c r="I388" s="40">
        <f>SUM(I389:I468)</f>
        <v>0</v>
      </c>
      <c r="K388" s="51"/>
      <c r="AI388" s="46" t="s">
        <v>94</v>
      </c>
      <c r="AS388" s="40">
        <f>SUM(AJ389:AJ468)</f>
        <v>0</v>
      </c>
      <c r="AT388" s="40">
        <f>SUM(AK389:AK468)</f>
        <v>0</v>
      </c>
      <c r="AU388" s="40">
        <f>SUM(AL389:AL468)</f>
        <v>0</v>
      </c>
    </row>
    <row r="389" spans="1:76" ht="25.5">
      <c r="A389" s="1" t="s">
        <v>864</v>
      </c>
      <c r="B389" s="2" t="s">
        <v>94</v>
      </c>
      <c r="C389" s="2" t="s">
        <v>865</v>
      </c>
      <c r="D389" s="92" t="s">
        <v>866</v>
      </c>
      <c r="E389" s="87"/>
      <c r="F389" s="2" t="s">
        <v>192</v>
      </c>
      <c r="G389" s="35">
        <v>4</v>
      </c>
      <c r="H389" s="61">
        <v>0</v>
      </c>
      <c r="I389" s="35">
        <f>ROUND(G389*H389,2)</f>
        <v>0</v>
      </c>
      <c r="K389" s="51"/>
      <c r="Z389" s="35">
        <f>ROUND(IF(AQ389="5",BJ389,0),2)</f>
        <v>0</v>
      </c>
      <c r="AB389" s="35">
        <f>ROUND(IF(AQ389="1",BH389,0),2)</f>
        <v>0</v>
      </c>
      <c r="AC389" s="35">
        <f>ROUND(IF(AQ389="1",BI389,0),2)</f>
        <v>0</v>
      </c>
      <c r="AD389" s="35">
        <f>ROUND(IF(AQ389="7",BH389,0),2)</f>
        <v>0</v>
      </c>
      <c r="AE389" s="35">
        <f>ROUND(IF(AQ389="7",BI389,0),2)</f>
        <v>0</v>
      </c>
      <c r="AF389" s="35">
        <f>ROUND(IF(AQ389="2",BH389,0),2)</f>
        <v>0</v>
      </c>
      <c r="AG389" s="35">
        <f>ROUND(IF(AQ389="2",BI389,0),2)</f>
        <v>0</v>
      </c>
      <c r="AH389" s="35">
        <f>ROUND(IF(AQ389="0",BJ389,0),2)</f>
        <v>0</v>
      </c>
      <c r="AI389" s="46" t="s">
        <v>94</v>
      </c>
      <c r="AJ389" s="35">
        <f>IF(AN389=0,I389,0)</f>
        <v>0</v>
      </c>
      <c r="AK389" s="35">
        <f>IF(AN389=12,I389,0)</f>
        <v>0</v>
      </c>
      <c r="AL389" s="35">
        <f>IF(AN389=21,I389,0)</f>
        <v>0</v>
      </c>
      <c r="AN389" s="35">
        <v>21</v>
      </c>
      <c r="AO389" s="35">
        <f>H389*0</f>
        <v>0</v>
      </c>
      <c r="AP389" s="35">
        <f>H389*(1-0)</f>
        <v>0</v>
      </c>
      <c r="AQ389" s="62" t="s">
        <v>127</v>
      </c>
      <c r="AV389" s="35">
        <f>ROUND(AW389+AX389,2)</f>
        <v>0</v>
      </c>
      <c r="AW389" s="35">
        <f>ROUND(G389*AO389,2)</f>
        <v>0</v>
      </c>
      <c r="AX389" s="35">
        <f>ROUND(G389*AP389,2)</f>
        <v>0</v>
      </c>
      <c r="AY389" s="62" t="s">
        <v>632</v>
      </c>
      <c r="AZ389" s="62" t="s">
        <v>867</v>
      </c>
      <c r="BA389" s="46" t="s">
        <v>868</v>
      </c>
      <c r="BC389" s="35">
        <f>AW389+AX389</f>
        <v>0</v>
      </c>
      <c r="BD389" s="35">
        <f>H389/(100-BE389)*100</f>
        <v>0</v>
      </c>
      <c r="BE389" s="35">
        <v>0</v>
      </c>
      <c r="BF389" s="35">
        <f>389</f>
        <v>389</v>
      </c>
      <c r="BH389" s="35">
        <f>G389*AO389</f>
        <v>0</v>
      </c>
      <c r="BI389" s="35">
        <f>G389*AP389</f>
        <v>0</v>
      </c>
      <c r="BJ389" s="35">
        <f>G389*H389</f>
        <v>0</v>
      </c>
      <c r="BK389" s="62" t="s">
        <v>135</v>
      </c>
      <c r="BL389" s="35">
        <v>13</v>
      </c>
      <c r="BW389" s="35">
        <v>21</v>
      </c>
      <c r="BX389" s="3" t="s">
        <v>866</v>
      </c>
    </row>
    <row r="390" spans="1:76" ht="25.5">
      <c r="A390" s="1" t="s">
        <v>869</v>
      </c>
      <c r="B390" s="2" t="s">
        <v>94</v>
      </c>
      <c r="C390" s="2" t="s">
        <v>870</v>
      </c>
      <c r="D390" s="92" t="s">
        <v>871</v>
      </c>
      <c r="E390" s="87"/>
      <c r="F390" s="2" t="s">
        <v>192</v>
      </c>
      <c r="G390" s="35">
        <v>4</v>
      </c>
      <c r="H390" s="61">
        <v>0</v>
      </c>
      <c r="I390" s="35">
        <f>ROUND(G390*H390,2)</f>
        <v>0</v>
      </c>
      <c r="K390" s="51"/>
      <c r="Z390" s="35">
        <f>ROUND(IF(AQ390="5",BJ390,0),2)</f>
        <v>0</v>
      </c>
      <c r="AB390" s="35">
        <f>ROUND(IF(AQ390="1",BH390,0),2)</f>
        <v>0</v>
      </c>
      <c r="AC390" s="35">
        <f>ROUND(IF(AQ390="1",BI390,0),2)</f>
        <v>0</v>
      </c>
      <c r="AD390" s="35">
        <f>ROUND(IF(AQ390="7",BH390,0),2)</f>
        <v>0</v>
      </c>
      <c r="AE390" s="35">
        <f>ROUND(IF(AQ390="7",BI390,0),2)</f>
        <v>0</v>
      </c>
      <c r="AF390" s="35">
        <f>ROUND(IF(AQ390="2",BH390,0),2)</f>
        <v>0</v>
      </c>
      <c r="AG390" s="35">
        <f>ROUND(IF(AQ390="2",BI390,0),2)</f>
        <v>0</v>
      </c>
      <c r="AH390" s="35">
        <f>ROUND(IF(AQ390="0",BJ390,0),2)</f>
        <v>0</v>
      </c>
      <c r="AI390" s="46" t="s">
        <v>94</v>
      </c>
      <c r="AJ390" s="35">
        <f>IF(AN390=0,I390,0)</f>
        <v>0</v>
      </c>
      <c r="AK390" s="35">
        <f>IF(AN390=12,I390,0)</f>
        <v>0</v>
      </c>
      <c r="AL390" s="35">
        <f>IF(AN390=21,I390,0)</f>
        <v>0</v>
      </c>
      <c r="AN390" s="35">
        <v>21</v>
      </c>
      <c r="AO390" s="35">
        <f>H390*0</f>
        <v>0</v>
      </c>
      <c r="AP390" s="35">
        <f>H390*(1-0)</f>
        <v>0</v>
      </c>
      <c r="AQ390" s="62" t="s">
        <v>127</v>
      </c>
      <c r="AV390" s="35">
        <f>ROUND(AW390+AX390,2)</f>
        <v>0</v>
      </c>
      <c r="AW390" s="35">
        <f>ROUND(G390*AO390,2)</f>
        <v>0</v>
      </c>
      <c r="AX390" s="35">
        <f>ROUND(G390*AP390,2)</f>
        <v>0</v>
      </c>
      <c r="AY390" s="62" t="s">
        <v>632</v>
      </c>
      <c r="AZ390" s="62" t="s">
        <v>867</v>
      </c>
      <c r="BA390" s="46" t="s">
        <v>868</v>
      </c>
      <c r="BC390" s="35">
        <f>AW390+AX390</f>
        <v>0</v>
      </c>
      <c r="BD390" s="35">
        <f>H390/(100-BE390)*100</f>
        <v>0</v>
      </c>
      <c r="BE390" s="35">
        <v>0</v>
      </c>
      <c r="BF390" s="35">
        <f>390</f>
        <v>390</v>
      </c>
      <c r="BH390" s="35">
        <f>G390*AO390</f>
        <v>0</v>
      </c>
      <c r="BI390" s="35">
        <f>G390*AP390</f>
        <v>0</v>
      </c>
      <c r="BJ390" s="35">
        <f>G390*H390</f>
        <v>0</v>
      </c>
      <c r="BK390" s="62" t="s">
        <v>135</v>
      </c>
      <c r="BL390" s="35">
        <v>13</v>
      </c>
      <c r="BW390" s="35">
        <v>21</v>
      </c>
      <c r="BX390" s="3" t="s">
        <v>871</v>
      </c>
    </row>
    <row r="391" spans="1:76" ht="25.5">
      <c r="A391" s="1" t="s">
        <v>872</v>
      </c>
      <c r="B391" s="2" t="s">
        <v>94</v>
      </c>
      <c r="C391" s="2" t="s">
        <v>873</v>
      </c>
      <c r="D391" s="92" t="s">
        <v>874</v>
      </c>
      <c r="E391" s="87"/>
      <c r="F391" s="2" t="s">
        <v>192</v>
      </c>
      <c r="G391" s="35">
        <v>4</v>
      </c>
      <c r="H391" s="61">
        <v>0</v>
      </c>
      <c r="I391" s="35">
        <f>ROUND(G391*H391,2)</f>
        <v>0</v>
      </c>
      <c r="K391" s="51"/>
      <c r="Z391" s="35">
        <f>ROUND(IF(AQ391="5",BJ391,0),2)</f>
        <v>0</v>
      </c>
      <c r="AB391" s="35">
        <f>ROUND(IF(AQ391="1",BH391,0),2)</f>
        <v>0</v>
      </c>
      <c r="AC391" s="35">
        <f>ROUND(IF(AQ391="1",BI391,0),2)</f>
        <v>0</v>
      </c>
      <c r="AD391" s="35">
        <f>ROUND(IF(AQ391="7",BH391,0),2)</f>
        <v>0</v>
      </c>
      <c r="AE391" s="35">
        <f>ROUND(IF(AQ391="7",BI391,0),2)</f>
        <v>0</v>
      </c>
      <c r="AF391" s="35">
        <f>ROUND(IF(AQ391="2",BH391,0),2)</f>
        <v>0</v>
      </c>
      <c r="AG391" s="35">
        <f>ROUND(IF(AQ391="2",BI391,0),2)</f>
        <v>0</v>
      </c>
      <c r="AH391" s="35">
        <f>ROUND(IF(AQ391="0",BJ391,0),2)</f>
        <v>0</v>
      </c>
      <c r="AI391" s="46" t="s">
        <v>94</v>
      </c>
      <c r="AJ391" s="35">
        <f>IF(AN391=0,I391,0)</f>
        <v>0</v>
      </c>
      <c r="AK391" s="35">
        <f>IF(AN391=12,I391,0)</f>
        <v>0</v>
      </c>
      <c r="AL391" s="35">
        <f>IF(AN391=21,I391,0)</f>
        <v>0</v>
      </c>
      <c r="AN391" s="35">
        <v>21</v>
      </c>
      <c r="AO391" s="35">
        <f>H391*0</f>
        <v>0</v>
      </c>
      <c r="AP391" s="35">
        <f>H391*(1-0)</f>
        <v>0</v>
      </c>
      <c r="AQ391" s="62" t="s">
        <v>127</v>
      </c>
      <c r="AV391" s="35">
        <f>ROUND(AW391+AX391,2)</f>
        <v>0</v>
      </c>
      <c r="AW391" s="35">
        <f>ROUND(G391*AO391,2)</f>
        <v>0</v>
      </c>
      <c r="AX391" s="35">
        <f>ROUND(G391*AP391,2)</f>
        <v>0</v>
      </c>
      <c r="AY391" s="62" t="s">
        <v>632</v>
      </c>
      <c r="AZ391" s="62" t="s">
        <v>867</v>
      </c>
      <c r="BA391" s="46" t="s">
        <v>868</v>
      </c>
      <c r="BC391" s="35">
        <f>AW391+AX391</f>
        <v>0</v>
      </c>
      <c r="BD391" s="35">
        <f>H391/(100-BE391)*100</f>
        <v>0</v>
      </c>
      <c r="BE391" s="35">
        <v>0</v>
      </c>
      <c r="BF391" s="35">
        <f>391</f>
        <v>391</v>
      </c>
      <c r="BH391" s="35">
        <f>G391*AO391</f>
        <v>0</v>
      </c>
      <c r="BI391" s="35">
        <f>G391*AP391</f>
        <v>0</v>
      </c>
      <c r="BJ391" s="35">
        <f>G391*H391</f>
        <v>0</v>
      </c>
      <c r="BK391" s="62" t="s">
        <v>135</v>
      </c>
      <c r="BL391" s="35">
        <v>13</v>
      </c>
      <c r="BW391" s="35">
        <v>21</v>
      </c>
      <c r="BX391" s="3" t="s">
        <v>874</v>
      </c>
    </row>
    <row r="392" spans="1:76" ht="25.5">
      <c r="A392" s="1" t="s">
        <v>875</v>
      </c>
      <c r="B392" s="2" t="s">
        <v>94</v>
      </c>
      <c r="C392" s="2" t="s">
        <v>876</v>
      </c>
      <c r="D392" s="92" t="s">
        <v>877</v>
      </c>
      <c r="E392" s="87"/>
      <c r="F392" s="2" t="s">
        <v>223</v>
      </c>
      <c r="G392" s="35">
        <v>0.36699999999999999</v>
      </c>
      <c r="H392" s="61">
        <v>0</v>
      </c>
      <c r="I392" s="35">
        <f>ROUND(G392*H392,2)</f>
        <v>0</v>
      </c>
      <c r="K392" s="51"/>
      <c r="Z392" s="35">
        <f>ROUND(IF(AQ392="5",BJ392,0),2)</f>
        <v>0</v>
      </c>
      <c r="AB392" s="35">
        <f>ROUND(IF(AQ392="1",BH392,0),2)</f>
        <v>0</v>
      </c>
      <c r="AC392" s="35">
        <f>ROUND(IF(AQ392="1",BI392,0),2)</f>
        <v>0</v>
      </c>
      <c r="AD392" s="35">
        <f>ROUND(IF(AQ392="7",BH392,0),2)</f>
        <v>0</v>
      </c>
      <c r="AE392" s="35">
        <f>ROUND(IF(AQ392="7",BI392,0),2)</f>
        <v>0</v>
      </c>
      <c r="AF392" s="35">
        <f>ROUND(IF(AQ392="2",BH392,0),2)</f>
        <v>0</v>
      </c>
      <c r="AG392" s="35">
        <f>ROUND(IF(AQ392="2",BI392,0),2)</f>
        <v>0</v>
      </c>
      <c r="AH392" s="35">
        <f>ROUND(IF(AQ392="0",BJ392,0),2)</f>
        <v>0</v>
      </c>
      <c r="AI392" s="46" t="s">
        <v>94</v>
      </c>
      <c r="AJ392" s="35">
        <f>IF(AN392=0,I392,0)</f>
        <v>0</v>
      </c>
      <c r="AK392" s="35">
        <f>IF(AN392=12,I392,0)</f>
        <v>0</v>
      </c>
      <c r="AL392" s="35">
        <f>IF(AN392=21,I392,0)</f>
        <v>0</v>
      </c>
      <c r="AN392" s="35">
        <v>21</v>
      </c>
      <c r="AO392" s="35">
        <f>H392*0</f>
        <v>0</v>
      </c>
      <c r="AP392" s="35">
        <f>H392*(1-0)</f>
        <v>0</v>
      </c>
      <c r="AQ392" s="62" t="s">
        <v>127</v>
      </c>
      <c r="AV392" s="35">
        <f>ROUND(AW392+AX392,2)</f>
        <v>0</v>
      </c>
      <c r="AW392" s="35">
        <f>ROUND(G392*AO392,2)</f>
        <v>0</v>
      </c>
      <c r="AX392" s="35">
        <f>ROUND(G392*AP392,2)</f>
        <v>0</v>
      </c>
      <c r="AY392" s="62" t="s">
        <v>632</v>
      </c>
      <c r="AZ392" s="62" t="s">
        <v>867</v>
      </c>
      <c r="BA392" s="46" t="s">
        <v>868</v>
      </c>
      <c r="BC392" s="35">
        <f>AW392+AX392</f>
        <v>0</v>
      </c>
      <c r="BD392" s="35">
        <f>H392/(100-BE392)*100</f>
        <v>0</v>
      </c>
      <c r="BE392" s="35">
        <v>0</v>
      </c>
      <c r="BF392" s="35">
        <f>392</f>
        <v>392</v>
      </c>
      <c r="BH392" s="35">
        <f>G392*AO392</f>
        <v>0</v>
      </c>
      <c r="BI392" s="35">
        <f>G392*AP392</f>
        <v>0</v>
      </c>
      <c r="BJ392" s="35">
        <f>G392*H392</f>
        <v>0</v>
      </c>
      <c r="BK392" s="62" t="s">
        <v>135</v>
      </c>
      <c r="BL392" s="35">
        <v>13</v>
      </c>
      <c r="BW392" s="35">
        <v>21</v>
      </c>
      <c r="BX392" s="3" t="s">
        <v>877</v>
      </c>
    </row>
    <row r="393" spans="1:76" ht="13.5" customHeight="1">
      <c r="A393" s="68"/>
      <c r="C393" s="72" t="s">
        <v>337</v>
      </c>
      <c r="D393" s="178" t="s">
        <v>878</v>
      </c>
      <c r="E393" s="179"/>
      <c r="F393" s="179"/>
      <c r="G393" s="179"/>
      <c r="H393" s="180"/>
      <c r="I393" s="179"/>
      <c r="J393" s="179"/>
      <c r="K393" s="181"/>
    </row>
    <row r="394" spans="1:76">
      <c r="A394" s="68"/>
      <c r="D394" s="69" t="s">
        <v>879</v>
      </c>
      <c r="E394" s="70" t="s">
        <v>880</v>
      </c>
      <c r="G394" s="71">
        <v>0.36699999999999999</v>
      </c>
      <c r="K394" s="51"/>
    </row>
    <row r="395" spans="1:76">
      <c r="A395" s="1" t="s">
        <v>881</v>
      </c>
      <c r="B395" s="2" t="s">
        <v>94</v>
      </c>
      <c r="C395" s="2" t="s">
        <v>882</v>
      </c>
      <c r="D395" s="92" t="s">
        <v>883</v>
      </c>
      <c r="E395" s="87"/>
      <c r="F395" s="2" t="s">
        <v>223</v>
      </c>
      <c r="G395" s="35">
        <v>1.8140000000000001</v>
      </c>
      <c r="H395" s="61">
        <v>0</v>
      </c>
      <c r="I395" s="35">
        <f>ROUND(G395*H395,2)</f>
        <v>0</v>
      </c>
      <c r="K395" s="51"/>
      <c r="Z395" s="35">
        <f>ROUND(IF(AQ395="5",BJ395,0),2)</f>
        <v>0</v>
      </c>
      <c r="AB395" s="35">
        <f>ROUND(IF(AQ395="1",BH395,0),2)</f>
        <v>0</v>
      </c>
      <c r="AC395" s="35">
        <f>ROUND(IF(AQ395="1",BI395,0),2)</f>
        <v>0</v>
      </c>
      <c r="AD395" s="35">
        <f>ROUND(IF(AQ395="7",BH395,0),2)</f>
        <v>0</v>
      </c>
      <c r="AE395" s="35">
        <f>ROUND(IF(AQ395="7",BI395,0),2)</f>
        <v>0</v>
      </c>
      <c r="AF395" s="35">
        <f>ROUND(IF(AQ395="2",BH395,0),2)</f>
        <v>0</v>
      </c>
      <c r="AG395" s="35">
        <f>ROUND(IF(AQ395="2",BI395,0),2)</f>
        <v>0</v>
      </c>
      <c r="AH395" s="35">
        <f>ROUND(IF(AQ395="0",BJ395,0),2)</f>
        <v>0</v>
      </c>
      <c r="AI395" s="46" t="s">
        <v>94</v>
      </c>
      <c r="AJ395" s="35">
        <f>IF(AN395=0,I395,0)</f>
        <v>0</v>
      </c>
      <c r="AK395" s="35">
        <f>IF(AN395=12,I395,0)</f>
        <v>0</v>
      </c>
      <c r="AL395" s="35">
        <f>IF(AN395=21,I395,0)</f>
        <v>0</v>
      </c>
      <c r="AN395" s="35">
        <v>21</v>
      </c>
      <c r="AO395" s="35">
        <f>H395*0</f>
        <v>0</v>
      </c>
      <c r="AP395" s="35">
        <f>H395*(1-0)</f>
        <v>0</v>
      </c>
      <c r="AQ395" s="62" t="s">
        <v>127</v>
      </c>
      <c r="AV395" s="35">
        <f>ROUND(AW395+AX395,2)</f>
        <v>0</v>
      </c>
      <c r="AW395" s="35">
        <f>ROUND(G395*AO395,2)</f>
        <v>0</v>
      </c>
      <c r="AX395" s="35">
        <f>ROUND(G395*AP395,2)</f>
        <v>0</v>
      </c>
      <c r="AY395" s="62" t="s">
        <v>632</v>
      </c>
      <c r="AZ395" s="62" t="s">
        <v>867</v>
      </c>
      <c r="BA395" s="46" t="s">
        <v>868</v>
      </c>
      <c r="BC395" s="35">
        <f>AW395+AX395</f>
        <v>0</v>
      </c>
      <c r="BD395" s="35">
        <f>H395/(100-BE395)*100</f>
        <v>0</v>
      </c>
      <c r="BE395" s="35">
        <v>0</v>
      </c>
      <c r="BF395" s="35">
        <f>395</f>
        <v>395</v>
      </c>
      <c r="BH395" s="35">
        <f>G395*AO395</f>
        <v>0</v>
      </c>
      <c r="BI395" s="35">
        <f>G395*AP395</f>
        <v>0</v>
      </c>
      <c r="BJ395" s="35">
        <f>G395*H395</f>
        <v>0</v>
      </c>
      <c r="BK395" s="62" t="s">
        <v>135</v>
      </c>
      <c r="BL395" s="35">
        <v>13</v>
      </c>
      <c r="BW395" s="35">
        <v>21</v>
      </c>
      <c r="BX395" s="3" t="s">
        <v>883</v>
      </c>
    </row>
    <row r="396" spans="1:76" ht="27" customHeight="1">
      <c r="A396" s="68"/>
      <c r="C396" s="72" t="s">
        <v>337</v>
      </c>
      <c r="D396" s="178" t="s">
        <v>884</v>
      </c>
      <c r="E396" s="179"/>
      <c r="F396" s="179"/>
      <c r="G396" s="179"/>
      <c r="H396" s="180"/>
      <c r="I396" s="179"/>
      <c r="J396" s="179"/>
      <c r="K396" s="181"/>
    </row>
    <row r="397" spans="1:76">
      <c r="A397" s="68"/>
      <c r="D397" s="69" t="s">
        <v>885</v>
      </c>
      <c r="E397" s="70" t="s">
        <v>886</v>
      </c>
      <c r="G397" s="71">
        <v>3.9340000000000002</v>
      </c>
      <c r="K397" s="51"/>
    </row>
    <row r="398" spans="1:76">
      <c r="A398" s="68"/>
      <c r="D398" s="69" t="s">
        <v>887</v>
      </c>
      <c r="E398" s="70" t="s">
        <v>888</v>
      </c>
      <c r="G398" s="71">
        <v>-2.12</v>
      </c>
      <c r="K398" s="51"/>
    </row>
    <row r="399" spans="1:76">
      <c r="A399" s="1" t="s">
        <v>889</v>
      </c>
      <c r="B399" s="2" t="s">
        <v>94</v>
      </c>
      <c r="C399" s="2" t="s">
        <v>890</v>
      </c>
      <c r="D399" s="92" t="s">
        <v>891</v>
      </c>
      <c r="E399" s="87"/>
      <c r="F399" s="2" t="s">
        <v>223</v>
      </c>
      <c r="G399" s="35">
        <v>6.556</v>
      </c>
      <c r="H399" s="61">
        <v>0</v>
      </c>
      <c r="I399" s="35">
        <f>ROUND(G399*H399,2)</f>
        <v>0</v>
      </c>
      <c r="K399" s="51"/>
      <c r="Z399" s="35">
        <f>ROUND(IF(AQ399="5",BJ399,0),2)</f>
        <v>0</v>
      </c>
      <c r="AB399" s="35">
        <f>ROUND(IF(AQ399="1",BH399,0),2)</f>
        <v>0</v>
      </c>
      <c r="AC399" s="35">
        <f>ROUND(IF(AQ399="1",BI399,0),2)</f>
        <v>0</v>
      </c>
      <c r="AD399" s="35">
        <f>ROUND(IF(AQ399="7",BH399,0),2)</f>
        <v>0</v>
      </c>
      <c r="AE399" s="35">
        <f>ROUND(IF(AQ399="7",BI399,0),2)</f>
        <v>0</v>
      </c>
      <c r="AF399" s="35">
        <f>ROUND(IF(AQ399="2",BH399,0),2)</f>
        <v>0</v>
      </c>
      <c r="AG399" s="35">
        <f>ROUND(IF(AQ399="2",BI399,0),2)</f>
        <v>0</v>
      </c>
      <c r="AH399" s="35">
        <f>ROUND(IF(AQ399="0",BJ399,0),2)</f>
        <v>0</v>
      </c>
      <c r="AI399" s="46" t="s">
        <v>94</v>
      </c>
      <c r="AJ399" s="35">
        <f>IF(AN399=0,I399,0)</f>
        <v>0</v>
      </c>
      <c r="AK399" s="35">
        <f>IF(AN399=12,I399,0)</f>
        <v>0</v>
      </c>
      <c r="AL399" s="35">
        <f>IF(AN399=21,I399,0)</f>
        <v>0</v>
      </c>
      <c r="AN399" s="35">
        <v>21</v>
      </c>
      <c r="AO399" s="35">
        <f>H399*0</f>
        <v>0</v>
      </c>
      <c r="AP399" s="35">
        <f>H399*(1-0)</f>
        <v>0</v>
      </c>
      <c r="AQ399" s="62" t="s">
        <v>127</v>
      </c>
      <c r="AV399" s="35">
        <f>ROUND(AW399+AX399,2)</f>
        <v>0</v>
      </c>
      <c r="AW399" s="35">
        <f>ROUND(G399*AO399,2)</f>
        <v>0</v>
      </c>
      <c r="AX399" s="35">
        <f>ROUND(G399*AP399,2)</f>
        <v>0</v>
      </c>
      <c r="AY399" s="62" t="s">
        <v>632</v>
      </c>
      <c r="AZ399" s="62" t="s">
        <v>867</v>
      </c>
      <c r="BA399" s="46" t="s">
        <v>868</v>
      </c>
      <c r="BC399" s="35">
        <f>AW399+AX399</f>
        <v>0</v>
      </c>
      <c r="BD399" s="35">
        <f>H399/(100-BE399)*100</f>
        <v>0</v>
      </c>
      <c r="BE399" s="35">
        <v>0</v>
      </c>
      <c r="BF399" s="35">
        <f>399</f>
        <v>399</v>
      </c>
      <c r="BH399" s="35">
        <f>G399*AO399</f>
        <v>0</v>
      </c>
      <c r="BI399" s="35">
        <f>G399*AP399</f>
        <v>0</v>
      </c>
      <c r="BJ399" s="35">
        <f>G399*H399</f>
        <v>0</v>
      </c>
      <c r="BK399" s="62" t="s">
        <v>135</v>
      </c>
      <c r="BL399" s="35">
        <v>13</v>
      </c>
      <c r="BW399" s="35">
        <v>21</v>
      </c>
      <c r="BX399" s="3" t="s">
        <v>891</v>
      </c>
    </row>
    <row r="400" spans="1:76" ht="27" customHeight="1">
      <c r="A400" s="68"/>
      <c r="C400" s="72" t="s">
        <v>337</v>
      </c>
      <c r="D400" s="178" t="s">
        <v>884</v>
      </c>
      <c r="E400" s="179"/>
      <c r="F400" s="179"/>
      <c r="G400" s="179"/>
      <c r="H400" s="180"/>
      <c r="I400" s="179"/>
      <c r="J400" s="179"/>
      <c r="K400" s="181"/>
    </row>
    <row r="401" spans="1:76">
      <c r="A401" s="68"/>
      <c r="D401" s="69" t="s">
        <v>892</v>
      </c>
      <c r="E401" s="70" t="s">
        <v>4</v>
      </c>
      <c r="G401" s="71">
        <v>3.6266699999999998</v>
      </c>
      <c r="K401" s="51"/>
    </row>
    <row r="402" spans="1:76">
      <c r="A402" s="68"/>
      <c r="D402" s="69" t="s">
        <v>893</v>
      </c>
      <c r="E402" s="70" t="s">
        <v>4</v>
      </c>
      <c r="G402" s="71">
        <v>0.95672999999999997</v>
      </c>
      <c r="K402" s="51"/>
    </row>
    <row r="403" spans="1:76">
      <c r="A403" s="68"/>
      <c r="D403" s="69" t="s">
        <v>894</v>
      </c>
      <c r="E403" s="70" t="s">
        <v>4</v>
      </c>
      <c r="G403" s="71">
        <v>8.5286500000000007</v>
      </c>
      <c r="K403" s="51"/>
    </row>
    <row r="404" spans="1:76">
      <c r="A404" s="68"/>
      <c r="D404" s="69" t="s">
        <v>895</v>
      </c>
      <c r="E404" s="70" t="s">
        <v>896</v>
      </c>
      <c r="G404" s="71">
        <v>-3.9340000000000002</v>
      </c>
      <c r="K404" s="51"/>
    </row>
    <row r="405" spans="1:76">
      <c r="A405" s="68"/>
      <c r="D405" s="69" t="s">
        <v>897</v>
      </c>
      <c r="E405" s="70" t="s">
        <v>898</v>
      </c>
      <c r="G405" s="71">
        <v>-2.6219999999999999</v>
      </c>
      <c r="K405" s="51"/>
    </row>
    <row r="406" spans="1:76">
      <c r="A406" s="1" t="s">
        <v>899</v>
      </c>
      <c r="B406" s="2" t="s">
        <v>94</v>
      </c>
      <c r="C406" s="2" t="s">
        <v>900</v>
      </c>
      <c r="D406" s="92" t="s">
        <v>901</v>
      </c>
      <c r="E406" s="87"/>
      <c r="F406" s="2" t="s">
        <v>223</v>
      </c>
      <c r="G406" s="35">
        <v>2.6219999999999999</v>
      </c>
      <c r="H406" s="61">
        <v>0</v>
      </c>
      <c r="I406" s="35">
        <f>ROUND(G406*H406,2)</f>
        <v>0</v>
      </c>
      <c r="K406" s="51"/>
      <c r="Z406" s="35">
        <f>ROUND(IF(AQ406="5",BJ406,0),2)</f>
        <v>0</v>
      </c>
      <c r="AB406" s="35">
        <f>ROUND(IF(AQ406="1",BH406,0),2)</f>
        <v>0</v>
      </c>
      <c r="AC406" s="35">
        <f>ROUND(IF(AQ406="1",BI406,0),2)</f>
        <v>0</v>
      </c>
      <c r="AD406" s="35">
        <f>ROUND(IF(AQ406="7",BH406,0),2)</f>
        <v>0</v>
      </c>
      <c r="AE406" s="35">
        <f>ROUND(IF(AQ406="7",BI406,0),2)</f>
        <v>0</v>
      </c>
      <c r="AF406" s="35">
        <f>ROUND(IF(AQ406="2",BH406,0),2)</f>
        <v>0</v>
      </c>
      <c r="AG406" s="35">
        <f>ROUND(IF(AQ406="2",BI406,0),2)</f>
        <v>0</v>
      </c>
      <c r="AH406" s="35">
        <f>ROUND(IF(AQ406="0",BJ406,0),2)</f>
        <v>0</v>
      </c>
      <c r="AI406" s="46" t="s">
        <v>94</v>
      </c>
      <c r="AJ406" s="35">
        <f>IF(AN406=0,I406,0)</f>
        <v>0</v>
      </c>
      <c r="AK406" s="35">
        <f>IF(AN406=12,I406,0)</f>
        <v>0</v>
      </c>
      <c r="AL406" s="35">
        <f>IF(AN406=21,I406,0)</f>
        <v>0</v>
      </c>
      <c r="AN406" s="35">
        <v>21</v>
      </c>
      <c r="AO406" s="35">
        <f>H406*0</f>
        <v>0</v>
      </c>
      <c r="AP406" s="35">
        <f>H406*(1-0)</f>
        <v>0</v>
      </c>
      <c r="AQ406" s="62" t="s">
        <v>127</v>
      </c>
      <c r="AV406" s="35">
        <f>ROUND(AW406+AX406,2)</f>
        <v>0</v>
      </c>
      <c r="AW406" s="35">
        <f>ROUND(G406*AO406,2)</f>
        <v>0</v>
      </c>
      <c r="AX406" s="35">
        <f>ROUND(G406*AP406,2)</f>
        <v>0</v>
      </c>
      <c r="AY406" s="62" t="s">
        <v>632</v>
      </c>
      <c r="AZ406" s="62" t="s">
        <v>867</v>
      </c>
      <c r="BA406" s="46" t="s">
        <v>868</v>
      </c>
      <c r="BC406" s="35">
        <f>AW406+AX406</f>
        <v>0</v>
      </c>
      <c r="BD406" s="35">
        <f>H406/(100-BE406)*100</f>
        <v>0</v>
      </c>
      <c r="BE406" s="35">
        <v>0</v>
      </c>
      <c r="BF406" s="35">
        <f>406</f>
        <v>406</v>
      </c>
      <c r="BH406" s="35">
        <f>G406*AO406</f>
        <v>0</v>
      </c>
      <c r="BI406" s="35">
        <f>G406*AP406</f>
        <v>0</v>
      </c>
      <c r="BJ406" s="35">
        <f>G406*H406</f>
        <v>0</v>
      </c>
      <c r="BK406" s="62" t="s">
        <v>135</v>
      </c>
      <c r="BL406" s="35">
        <v>13</v>
      </c>
      <c r="BW406" s="35">
        <v>21</v>
      </c>
      <c r="BX406" s="3" t="s">
        <v>901</v>
      </c>
    </row>
    <row r="407" spans="1:76" ht="27" customHeight="1">
      <c r="A407" s="68"/>
      <c r="C407" s="72" t="s">
        <v>337</v>
      </c>
      <c r="D407" s="178" t="s">
        <v>884</v>
      </c>
      <c r="E407" s="179"/>
      <c r="F407" s="179"/>
      <c r="G407" s="179"/>
      <c r="H407" s="180"/>
      <c r="I407" s="179"/>
      <c r="J407" s="179"/>
      <c r="K407" s="181"/>
    </row>
    <row r="408" spans="1:76">
      <c r="A408" s="68"/>
      <c r="D408" s="69" t="s">
        <v>902</v>
      </c>
      <c r="E408" s="70" t="s">
        <v>903</v>
      </c>
      <c r="G408" s="71">
        <v>2.6219999999999999</v>
      </c>
      <c r="K408" s="51"/>
    </row>
    <row r="409" spans="1:76">
      <c r="A409" s="1" t="s">
        <v>904</v>
      </c>
      <c r="B409" s="2" t="s">
        <v>94</v>
      </c>
      <c r="C409" s="2" t="s">
        <v>905</v>
      </c>
      <c r="D409" s="92" t="s">
        <v>906</v>
      </c>
      <c r="E409" s="87"/>
      <c r="F409" s="2" t="s">
        <v>223</v>
      </c>
      <c r="G409" s="35">
        <v>2.4039999999999999</v>
      </c>
      <c r="H409" s="61">
        <v>0</v>
      </c>
      <c r="I409" s="35">
        <f>ROUND(G409*H409,2)</f>
        <v>0</v>
      </c>
      <c r="K409" s="51"/>
      <c r="Z409" s="35">
        <f>ROUND(IF(AQ409="5",BJ409,0),2)</f>
        <v>0</v>
      </c>
      <c r="AB409" s="35">
        <f>ROUND(IF(AQ409="1",BH409,0),2)</f>
        <v>0</v>
      </c>
      <c r="AC409" s="35">
        <f>ROUND(IF(AQ409="1",BI409,0),2)</f>
        <v>0</v>
      </c>
      <c r="AD409" s="35">
        <f>ROUND(IF(AQ409="7",BH409,0),2)</f>
        <v>0</v>
      </c>
      <c r="AE409" s="35">
        <f>ROUND(IF(AQ409="7",BI409,0),2)</f>
        <v>0</v>
      </c>
      <c r="AF409" s="35">
        <f>ROUND(IF(AQ409="2",BH409,0),2)</f>
        <v>0</v>
      </c>
      <c r="AG409" s="35">
        <f>ROUND(IF(AQ409="2",BI409,0),2)</f>
        <v>0</v>
      </c>
      <c r="AH409" s="35">
        <f>ROUND(IF(AQ409="0",BJ409,0),2)</f>
        <v>0</v>
      </c>
      <c r="AI409" s="46" t="s">
        <v>94</v>
      </c>
      <c r="AJ409" s="35">
        <f>IF(AN409=0,I409,0)</f>
        <v>0</v>
      </c>
      <c r="AK409" s="35">
        <f>IF(AN409=12,I409,0)</f>
        <v>0</v>
      </c>
      <c r="AL409" s="35">
        <f>IF(AN409=21,I409,0)</f>
        <v>0</v>
      </c>
      <c r="AN409" s="35">
        <v>21</v>
      </c>
      <c r="AO409" s="35">
        <f>H409*0</f>
        <v>0</v>
      </c>
      <c r="AP409" s="35">
        <f>H409*(1-0)</f>
        <v>0</v>
      </c>
      <c r="AQ409" s="62" t="s">
        <v>127</v>
      </c>
      <c r="AV409" s="35">
        <f>ROUND(AW409+AX409,2)</f>
        <v>0</v>
      </c>
      <c r="AW409" s="35">
        <f>ROUND(G409*AO409,2)</f>
        <v>0</v>
      </c>
      <c r="AX409" s="35">
        <f>ROUND(G409*AP409,2)</f>
        <v>0</v>
      </c>
      <c r="AY409" s="62" t="s">
        <v>632</v>
      </c>
      <c r="AZ409" s="62" t="s">
        <v>867</v>
      </c>
      <c r="BA409" s="46" t="s">
        <v>868</v>
      </c>
      <c r="BC409" s="35">
        <f>AW409+AX409</f>
        <v>0</v>
      </c>
      <c r="BD409" s="35">
        <f>H409/(100-BE409)*100</f>
        <v>0</v>
      </c>
      <c r="BE409" s="35">
        <v>0</v>
      </c>
      <c r="BF409" s="35">
        <f>409</f>
        <v>409</v>
      </c>
      <c r="BH409" s="35">
        <f>G409*AO409</f>
        <v>0</v>
      </c>
      <c r="BI409" s="35">
        <f>G409*AP409</f>
        <v>0</v>
      </c>
      <c r="BJ409" s="35">
        <f>G409*H409</f>
        <v>0</v>
      </c>
      <c r="BK409" s="62" t="s">
        <v>135</v>
      </c>
      <c r="BL409" s="35">
        <v>13</v>
      </c>
      <c r="BW409" s="35">
        <v>21</v>
      </c>
      <c r="BX409" s="3" t="s">
        <v>906</v>
      </c>
    </row>
    <row r="410" spans="1:76" ht="27" customHeight="1">
      <c r="A410" s="68"/>
      <c r="C410" s="72" t="s">
        <v>337</v>
      </c>
      <c r="D410" s="178" t="s">
        <v>907</v>
      </c>
      <c r="E410" s="179"/>
      <c r="F410" s="179"/>
      <c r="G410" s="179"/>
      <c r="H410" s="180"/>
      <c r="I410" s="179"/>
      <c r="J410" s="179"/>
      <c r="K410" s="181"/>
    </row>
    <row r="411" spans="1:76">
      <c r="A411" s="68"/>
      <c r="D411" s="69" t="s">
        <v>908</v>
      </c>
      <c r="E411" s="70" t="s">
        <v>886</v>
      </c>
      <c r="G411" s="71">
        <v>2.4039999999999999</v>
      </c>
      <c r="K411" s="51"/>
    </row>
    <row r="412" spans="1:76">
      <c r="A412" s="1" t="s">
        <v>909</v>
      </c>
      <c r="B412" s="2" t="s">
        <v>94</v>
      </c>
      <c r="C412" s="2" t="s">
        <v>910</v>
      </c>
      <c r="D412" s="92" t="s">
        <v>911</v>
      </c>
      <c r="E412" s="87"/>
      <c r="F412" s="2" t="s">
        <v>223</v>
      </c>
      <c r="G412" s="35">
        <v>4.0060000000000002</v>
      </c>
      <c r="H412" s="61">
        <v>0</v>
      </c>
      <c r="I412" s="35">
        <f>ROUND(G412*H412,2)</f>
        <v>0</v>
      </c>
      <c r="K412" s="51"/>
      <c r="Z412" s="35">
        <f>ROUND(IF(AQ412="5",BJ412,0),2)</f>
        <v>0</v>
      </c>
      <c r="AB412" s="35">
        <f>ROUND(IF(AQ412="1",BH412,0),2)</f>
        <v>0</v>
      </c>
      <c r="AC412" s="35">
        <f>ROUND(IF(AQ412="1",BI412,0),2)</f>
        <v>0</v>
      </c>
      <c r="AD412" s="35">
        <f>ROUND(IF(AQ412="7",BH412,0),2)</f>
        <v>0</v>
      </c>
      <c r="AE412" s="35">
        <f>ROUND(IF(AQ412="7",BI412,0),2)</f>
        <v>0</v>
      </c>
      <c r="AF412" s="35">
        <f>ROUND(IF(AQ412="2",BH412,0),2)</f>
        <v>0</v>
      </c>
      <c r="AG412" s="35">
        <f>ROUND(IF(AQ412="2",BI412,0),2)</f>
        <v>0</v>
      </c>
      <c r="AH412" s="35">
        <f>ROUND(IF(AQ412="0",BJ412,0),2)</f>
        <v>0</v>
      </c>
      <c r="AI412" s="46" t="s">
        <v>94</v>
      </c>
      <c r="AJ412" s="35">
        <f>IF(AN412=0,I412,0)</f>
        <v>0</v>
      </c>
      <c r="AK412" s="35">
        <f>IF(AN412=12,I412,0)</f>
        <v>0</v>
      </c>
      <c r="AL412" s="35">
        <f>IF(AN412=21,I412,0)</f>
        <v>0</v>
      </c>
      <c r="AN412" s="35">
        <v>21</v>
      </c>
      <c r="AO412" s="35">
        <f>H412*0</f>
        <v>0</v>
      </c>
      <c r="AP412" s="35">
        <f>H412*(1-0)</f>
        <v>0</v>
      </c>
      <c r="AQ412" s="62" t="s">
        <v>127</v>
      </c>
      <c r="AV412" s="35">
        <f>ROUND(AW412+AX412,2)</f>
        <v>0</v>
      </c>
      <c r="AW412" s="35">
        <f>ROUND(G412*AO412,2)</f>
        <v>0</v>
      </c>
      <c r="AX412" s="35">
        <f>ROUND(G412*AP412,2)</f>
        <v>0</v>
      </c>
      <c r="AY412" s="62" t="s">
        <v>632</v>
      </c>
      <c r="AZ412" s="62" t="s">
        <v>867</v>
      </c>
      <c r="BA412" s="46" t="s">
        <v>868</v>
      </c>
      <c r="BC412" s="35">
        <f>AW412+AX412</f>
        <v>0</v>
      </c>
      <c r="BD412" s="35">
        <f>H412/(100-BE412)*100</f>
        <v>0</v>
      </c>
      <c r="BE412" s="35">
        <v>0</v>
      </c>
      <c r="BF412" s="35">
        <f>412</f>
        <v>412</v>
      </c>
      <c r="BH412" s="35">
        <f>G412*AO412</f>
        <v>0</v>
      </c>
      <c r="BI412" s="35">
        <f>G412*AP412</f>
        <v>0</v>
      </c>
      <c r="BJ412" s="35">
        <f>G412*H412</f>
        <v>0</v>
      </c>
      <c r="BK412" s="62" t="s">
        <v>135</v>
      </c>
      <c r="BL412" s="35">
        <v>13</v>
      </c>
      <c r="BW412" s="35">
        <v>21</v>
      </c>
      <c r="BX412" s="3" t="s">
        <v>911</v>
      </c>
    </row>
    <row r="413" spans="1:76" ht="27" customHeight="1">
      <c r="A413" s="68"/>
      <c r="C413" s="72" t="s">
        <v>337</v>
      </c>
      <c r="D413" s="178" t="s">
        <v>907</v>
      </c>
      <c r="E413" s="179"/>
      <c r="F413" s="179"/>
      <c r="G413" s="179"/>
      <c r="H413" s="180"/>
      <c r="I413" s="179"/>
      <c r="J413" s="179"/>
      <c r="K413" s="181"/>
    </row>
    <row r="414" spans="1:76">
      <c r="A414" s="68"/>
      <c r="D414" s="69" t="s">
        <v>912</v>
      </c>
      <c r="E414" s="70" t="s">
        <v>4</v>
      </c>
      <c r="G414" s="71">
        <v>2.484</v>
      </c>
      <c r="K414" s="51"/>
    </row>
    <row r="415" spans="1:76">
      <c r="A415" s="68"/>
      <c r="D415" s="69" t="s">
        <v>913</v>
      </c>
      <c r="E415" s="70" t="s">
        <v>4</v>
      </c>
      <c r="G415" s="71">
        <v>3.105</v>
      </c>
      <c r="K415" s="51"/>
    </row>
    <row r="416" spans="1:76">
      <c r="A416" s="68"/>
      <c r="D416" s="69" t="s">
        <v>914</v>
      </c>
      <c r="E416" s="70" t="s">
        <v>4</v>
      </c>
      <c r="G416" s="71">
        <v>2.4239999999999999</v>
      </c>
      <c r="K416" s="51"/>
    </row>
    <row r="417" spans="1:76">
      <c r="A417" s="68"/>
      <c r="D417" s="69" t="s">
        <v>915</v>
      </c>
      <c r="E417" s="70" t="s">
        <v>896</v>
      </c>
      <c r="G417" s="71">
        <v>-2.4039999999999999</v>
      </c>
      <c r="K417" s="51"/>
    </row>
    <row r="418" spans="1:76">
      <c r="A418" s="68"/>
      <c r="D418" s="69" t="s">
        <v>916</v>
      </c>
      <c r="E418" s="70" t="s">
        <v>898</v>
      </c>
      <c r="G418" s="71">
        <v>-1.603</v>
      </c>
      <c r="K418" s="51"/>
    </row>
    <row r="419" spans="1:76">
      <c r="A419" s="1" t="s">
        <v>917</v>
      </c>
      <c r="B419" s="2" t="s">
        <v>94</v>
      </c>
      <c r="C419" s="2" t="s">
        <v>918</v>
      </c>
      <c r="D419" s="92" t="s">
        <v>919</v>
      </c>
      <c r="E419" s="87"/>
      <c r="F419" s="2" t="s">
        <v>223</v>
      </c>
      <c r="G419" s="35">
        <v>2.0249999999999999</v>
      </c>
      <c r="H419" s="61">
        <v>0</v>
      </c>
      <c r="I419" s="35">
        <f>ROUND(G419*H419,2)</f>
        <v>0</v>
      </c>
      <c r="K419" s="51"/>
      <c r="Z419" s="35">
        <f>ROUND(IF(AQ419="5",BJ419,0),2)</f>
        <v>0</v>
      </c>
      <c r="AB419" s="35">
        <f>ROUND(IF(AQ419="1",BH419,0),2)</f>
        <v>0</v>
      </c>
      <c r="AC419" s="35">
        <f>ROUND(IF(AQ419="1",BI419,0),2)</f>
        <v>0</v>
      </c>
      <c r="AD419" s="35">
        <f>ROUND(IF(AQ419="7",BH419,0),2)</f>
        <v>0</v>
      </c>
      <c r="AE419" s="35">
        <f>ROUND(IF(AQ419="7",BI419,0),2)</f>
        <v>0</v>
      </c>
      <c r="AF419" s="35">
        <f>ROUND(IF(AQ419="2",BH419,0),2)</f>
        <v>0</v>
      </c>
      <c r="AG419" s="35">
        <f>ROUND(IF(AQ419="2",BI419,0),2)</f>
        <v>0</v>
      </c>
      <c r="AH419" s="35">
        <f>ROUND(IF(AQ419="0",BJ419,0),2)</f>
        <v>0</v>
      </c>
      <c r="AI419" s="46" t="s">
        <v>94</v>
      </c>
      <c r="AJ419" s="35">
        <f>IF(AN419=0,I419,0)</f>
        <v>0</v>
      </c>
      <c r="AK419" s="35">
        <f>IF(AN419=12,I419,0)</f>
        <v>0</v>
      </c>
      <c r="AL419" s="35">
        <f>IF(AN419=21,I419,0)</f>
        <v>0</v>
      </c>
      <c r="AN419" s="35">
        <v>21</v>
      </c>
      <c r="AO419" s="35">
        <f>H419*0</f>
        <v>0</v>
      </c>
      <c r="AP419" s="35">
        <f>H419*(1-0)</f>
        <v>0</v>
      </c>
      <c r="AQ419" s="62" t="s">
        <v>127</v>
      </c>
      <c r="AV419" s="35">
        <f>ROUND(AW419+AX419,2)</f>
        <v>0</v>
      </c>
      <c r="AW419" s="35">
        <f>ROUND(G419*AO419,2)</f>
        <v>0</v>
      </c>
      <c r="AX419" s="35">
        <f>ROUND(G419*AP419,2)</f>
        <v>0</v>
      </c>
      <c r="AY419" s="62" t="s">
        <v>632</v>
      </c>
      <c r="AZ419" s="62" t="s">
        <v>867</v>
      </c>
      <c r="BA419" s="46" t="s">
        <v>868</v>
      </c>
      <c r="BC419" s="35">
        <f>AW419+AX419</f>
        <v>0</v>
      </c>
      <c r="BD419" s="35">
        <f>H419/(100-BE419)*100</f>
        <v>0</v>
      </c>
      <c r="BE419" s="35">
        <v>0</v>
      </c>
      <c r="BF419" s="35">
        <f>419</f>
        <v>419</v>
      </c>
      <c r="BH419" s="35">
        <f>G419*AO419</f>
        <v>0</v>
      </c>
      <c r="BI419" s="35">
        <f>G419*AP419</f>
        <v>0</v>
      </c>
      <c r="BJ419" s="35">
        <f>G419*H419</f>
        <v>0</v>
      </c>
      <c r="BK419" s="62" t="s">
        <v>135</v>
      </c>
      <c r="BL419" s="35">
        <v>13</v>
      </c>
      <c r="BW419" s="35">
        <v>21</v>
      </c>
      <c r="BX419" s="3" t="s">
        <v>919</v>
      </c>
    </row>
    <row r="420" spans="1:76" ht="27" customHeight="1">
      <c r="A420" s="68"/>
      <c r="C420" s="72" t="s">
        <v>337</v>
      </c>
      <c r="D420" s="178" t="s">
        <v>907</v>
      </c>
      <c r="E420" s="179"/>
      <c r="F420" s="179"/>
      <c r="G420" s="179"/>
      <c r="H420" s="180"/>
      <c r="I420" s="179"/>
      <c r="J420" s="179"/>
      <c r="K420" s="181"/>
    </row>
    <row r="421" spans="1:76">
      <c r="A421" s="68"/>
      <c r="D421" s="69" t="s">
        <v>920</v>
      </c>
      <c r="E421" s="70" t="s">
        <v>903</v>
      </c>
      <c r="G421" s="71">
        <v>1.603</v>
      </c>
      <c r="K421" s="51"/>
    </row>
    <row r="422" spans="1:76">
      <c r="A422" s="68"/>
      <c r="D422" s="69" t="s">
        <v>921</v>
      </c>
      <c r="E422" s="70" t="s">
        <v>922</v>
      </c>
      <c r="G422" s="71">
        <v>0.42199999999999999</v>
      </c>
      <c r="K422" s="51"/>
    </row>
    <row r="423" spans="1:76">
      <c r="A423" s="1" t="s">
        <v>923</v>
      </c>
      <c r="B423" s="2" t="s">
        <v>94</v>
      </c>
      <c r="C423" s="2" t="s">
        <v>924</v>
      </c>
      <c r="D423" s="92" t="s">
        <v>925</v>
      </c>
      <c r="E423" s="87"/>
      <c r="F423" s="2" t="s">
        <v>223</v>
      </c>
      <c r="G423" s="35">
        <v>0.42299999999999999</v>
      </c>
      <c r="H423" s="61">
        <v>0</v>
      </c>
      <c r="I423" s="35">
        <f>ROUND(G423*H423,2)</f>
        <v>0</v>
      </c>
      <c r="K423" s="51"/>
      <c r="Z423" s="35">
        <f>ROUND(IF(AQ423="5",BJ423,0),2)</f>
        <v>0</v>
      </c>
      <c r="AB423" s="35">
        <f>ROUND(IF(AQ423="1",BH423,0),2)</f>
        <v>0</v>
      </c>
      <c r="AC423" s="35">
        <f>ROUND(IF(AQ423="1",BI423,0),2)</f>
        <v>0</v>
      </c>
      <c r="AD423" s="35">
        <f>ROUND(IF(AQ423="7",BH423,0),2)</f>
        <v>0</v>
      </c>
      <c r="AE423" s="35">
        <f>ROUND(IF(AQ423="7",BI423,0),2)</f>
        <v>0</v>
      </c>
      <c r="AF423" s="35">
        <f>ROUND(IF(AQ423="2",BH423,0),2)</f>
        <v>0</v>
      </c>
      <c r="AG423" s="35">
        <f>ROUND(IF(AQ423="2",BI423,0),2)</f>
        <v>0</v>
      </c>
      <c r="AH423" s="35">
        <f>ROUND(IF(AQ423="0",BJ423,0),2)</f>
        <v>0</v>
      </c>
      <c r="AI423" s="46" t="s">
        <v>94</v>
      </c>
      <c r="AJ423" s="35">
        <f>IF(AN423=0,I423,0)</f>
        <v>0</v>
      </c>
      <c r="AK423" s="35">
        <f>IF(AN423=12,I423,0)</f>
        <v>0</v>
      </c>
      <c r="AL423" s="35">
        <f>IF(AN423=21,I423,0)</f>
        <v>0</v>
      </c>
      <c r="AN423" s="35">
        <v>21</v>
      </c>
      <c r="AO423" s="35">
        <f>H423*0</f>
        <v>0</v>
      </c>
      <c r="AP423" s="35">
        <f>H423*(1-0)</f>
        <v>0</v>
      </c>
      <c r="AQ423" s="62" t="s">
        <v>127</v>
      </c>
      <c r="AV423" s="35">
        <f>ROUND(AW423+AX423,2)</f>
        <v>0</v>
      </c>
      <c r="AW423" s="35">
        <f>ROUND(G423*AO423,2)</f>
        <v>0</v>
      </c>
      <c r="AX423" s="35">
        <f>ROUND(G423*AP423,2)</f>
        <v>0</v>
      </c>
      <c r="AY423" s="62" t="s">
        <v>632</v>
      </c>
      <c r="AZ423" s="62" t="s">
        <v>867</v>
      </c>
      <c r="BA423" s="46" t="s">
        <v>868</v>
      </c>
      <c r="BC423" s="35">
        <f>AW423+AX423</f>
        <v>0</v>
      </c>
      <c r="BD423" s="35">
        <f>H423/(100-BE423)*100</f>
        <v>0</v>
      </c>
      <c r="BE423" s="35">
        <v>0</v>
      </c>
      <c r="BF423" s="35">
        <f>423</f>
        <v>423</v>
      </c>
      <c r="BH423" s="35">
        <f>G423*AO423</f>
        <v>0</v>
      </c>
      <c r="BI423" s="35">
        <f>G423*AP423</f>
        <v>0</v>
      </c>
      <c r="BJ423" s="35">
        <f>G423*H423</f>
        <v>0</v>
      </c>
      <c r="BK423" s="62" t="s">
        <v>135</v>
      </c>
      <c r="BL423" s="35">
        <v>13</v>
      </c>
      <c r="BW423" s="35">
        <v>21</v>
      </c>
      <c r="BX423" s="3" t="s">
        <v>925</v>
      </c>
    </row>
    <row r="424" spans="1:76" ht="27" customHeight="1">
      <c r="A424" s="68"/>
      <c r="C424" s="72" t="s">
        <v>337</v>
      </c>
      <c r="D424" s="178" t="s">
        <v>926</v>
      </c>
      <c r="E424" s="179"/>
      <c r="F424" s="179"/>
      <c r="G424" s="179"/>
      <c r="H424" s="180"/>
      <c r="I424" s="179"/>
      <c r="J424" s="179"/>
      <c r="K424" s="181"/>
    </row>
    <row r="425" spans="1:76">
      <c r="A425" s="68"/>
      <c r="D425" s="69" t="s">
        <v>927</v>
      </c>
      <c r="E425" s="70" t="s">
        <v>4</v>
      </c>
      <c r="G425" s="71">
        <v>0.42249999999999999</v>
      </c>
      <c r="K425" s="51"/>
    </row>
    <row r="426" spans="1:76">
      <c r="A426" s="1" t="s">
        <v>928</v>
      </c>
      <c r="B426" s="2" t="s">
        <v>94</v>
      </c>
      <c r="C426" s="2" t="s">
        <v>642</v>
      </c>
      <c r="D426" s="92" t="s">
        <v>929</v>
      </c>
      <c r="E426" s="87"/>
      <c r="F426" s="2" t="s">
        <v>192</v>
      </c>
      <c r="G426" s="35">
        <v>19.364000000000001</v>
      </c>
      <c r="H426" s="61">
        <v>0</v>
      </c>
      <c r="I426" s="35">
        <f>ROUND(G426*H426,2)</f>
        <v>0</v>
      </c>
      <c r="K426" s="51"/>
      <c r="Z426" s="35">
        <f>ROUND(IF(AQ426="5",BJ426,0),2)</f>
        <v>0</v>
      </c>
      <c r="AB426" s="35">
        <f>ROUND(IF(AQ426="1",BH426,0),2)</f>
        <v>0</v>
      </c>
      <c r="AC426" s="35">
        <f>ROUND(IF(AQ426="1",BI426,0),2)</f>
        <v>0</v>
      </c>
      <c r="AD426" s="35">
        <f>ROUND(IF(AQ426="7",BH426,0),2)</f>
        <v>0</v>
      </c>
      <c r="AE426" s="35">
        <f>ROUND(IF(AQ426="7",BI426,0),2)</f>
        <v>0</v>
      </c>
      <c r="AF426" s="35">
        <f>ROUND(IF(AQ426="2",BH426,0),2)</f>
        <v>0</v>
      </c>
      <c r="AG426" s="35">
        <f>ROUND(IF(AQ426="2",BI426,0),2)</f>
        <v>0</v>
      </c>
      <c r="AH426" s="35">
        <f>ROUND(IF(AQ426="0",BJ426,0),2)</f>
        <v>0</v>
      </c>
      <c r="AI426" s="46" t="s">
        <v>94</v>
      </c>
      <c r="AJ426" s="35">
        <f>IF(AN426=0,I426,0)</f>
        <v>0</v>
      </c>
      <c r="AK426" s="35">
        <f>IF(AN426=12,I426,0)</f>
        <v>0</v>
      </c>
      <c r="AL426" s="35">
        <f>IF(AN426=21,I426,0)</f>
        <v>0</v>
      </c>
      <c r="AN426" s="35">
        <v>21</v>
      </c>
      <c r="AO426" s="35">
        <f>H426*0</f>
        <v>0</v>
      </c>
      <c r="AP426" s="35">
        <f>H426*(1-0)</f>
        <v>0</v>
      </c>
      <c r="AQ426" s="62" t="s">
        <v>127</v>
      </c>
      <c r="AV426" s="35">
        <f>ROUND(AW426+AX426,2)</f>
        <v>0</v>
      </c>
      <c r="AW426" s="35">
        <f>ROUND(G426*AO426,2)</f>
        <v>0</v>
      </c>
      <c r="AX426" s="35">
        <f>ROUND(G426*AP426,2)</f>
        <v>0</v>
      </c>
      <c r="AY426" s="62" t="s">
        <v>632</v>
      </c>
      <c r="AZ426" s="62" t="s">
        <v>867</v>
      </c>
      <c r="BA426" s="46" t="s">
        <v>868</v>
      </c>
      <c r="BC426" s="35">
        <f>AW426+AX426</f>
        <v>0</v>
      </c>
      <c r="BD426" s="35">
        <f>H426/(100-BE426)*100</f>
        <v>0</v>
      </c>
      <c r="BE426" s="35">
        <v>0</v>
      </c>
      <c r="BF426" s="35">
        <f>426</f>
        <v>426</v>
      </c>
      <c r="BH426" s="35">
        <f>G426*AO426</f>
        <v>0</v>
      </c>
      <c r="BI426" s="35">
        <f>G426*AP426</f>
        <v>0</v>
      </c>
      <c r="BJ426" s="35">
        <f>G426*H426</f>
        <v>0</v>
      </c>
      <c r="BK426" s="62" t="s">
        <v>135</v>
      </c>
      <c r="BL426" s="35">
        <v>13</v>
      </c>
      <c r="BW426" s="35">
        <v>21</v>
      </c>
      <c r="BX426" s="3" t="s">
        <v>929</v>
      </c>
    </row>
    <row r="427" spans="1:76" ht="13.5" customHeight="1">
      <c r="A427" s="68"/>
      <c r="C427" s="72" t="s">
        <v>337</v>
      </c>
      <c r="D427" s="178" t="s">
        <v>930</v>
      </c>
      <c r="E427" s="179"/>
      <c r="F427" s="179"/>
      <c r="G427" s="179"/>
      <c r="H427" s="180"/>
      <c r="I427" s="179"/>
      <c r="J427" s="179"/>
      <c r="K427" s="181"/>
    </row>
    <row r="428" spans="1:76">
      <c r="A428" s="68"/>
      <c r="D428" s="69" t="s">
        <v>931</v>
      </c>
      <c r="E428" s="70" t="s">
        <v>4</v>
      </c>
      <c r="G428" s="71">
        <v>19.3644</v>
      </c>
      <c r="K428" s="51"/>
    </row>
    <row r="429" spans="1:76">
      <c r="A429" s="1" t="s">
        <v>932</v>
      </c>
      <c r="B429" s="2" t="s">
        <v>94</v>
      </c>
      <c r="C429" s="2" t="s">
        <v>646</v>
      </c>
      <c r="D429" s="92" t="s">
        <v>933</v>
      </c>
      <c r="E429" s="87"/>
      <c r="F429" s="2" t="s">
        <v>192</v>
      </c>
      <c r="G429" s="35">
        <v>19.364000000000001</v>
      </c>
      <c r="H429" s="61">
        <v>0</v>
      </c>
      <c r="I429" s="35">
        <f>ROUND(G429*H429,2)</f>
        <v>0</v>
      </c>
      <c r="K429" s="51"/>
      <c r="Z429" s="35">
        <f>ROUND(IF(AQ429="5",BJ429,0),2)</f>
        <v>0</v>
      </c>
      <c r="AB429" s="35">
        <f>ROUND(IF(AQ429="1",BH429,0),2)</f>
        <v>0</v>
      </c>
      <c r="AC429" s="35">
        <f>ROUND(IF(AQ429="1",BI429,0),2)</f>
        <v>0</v>
      </c>
      <c r="AD429" s="35">
        <f>ROUND(IF(AQ429="7",BH429,0),2)</f>
        <v>0</v>
      </c>
      <c r="AE429" s="35">
        <f>ROUND(IF(AQ429="7",BI429,0),2)</f>
        <v>0</v>
      </c>
      <c r="AF429" s="35">
        <f>ROUND(IF(AQ429="2",BH429,0),2)</f>
        <v>0</v>
      </c>
      <c r="AG429" s="35">
        <f>ROUND(IF(AQ429="2",BI429,0),2)</f>
        <v>0</v>
      </c>
      <c r="AH429" s="35">
        <f>ROUND(IF(AQ429="0",BJ429,0),2)</f>
        <v>0</v>
      </c>
      <c r="AI429" s="46" t="s">
        <v>94</v>
      </c>
      <c r="AJ429" s="35">
        <f>IF(AN429=0,I429,0)</f>
        <v>0</v>
      </c>
      <c r="AK429" s="35">
        <f>IF(AN429=12,I429,0)</f>
        <v>0</v>
      </c>
      <c r="AL429" s="35">
        <f>IF(AN429=21,I429,0)</f>
        <v>0</v>
      </c>
      <c r="AN429" s="35">
        <v>21</v>
      </c>
      <c r="AO429" s="35">
        <f>H429*0</f>
        <v>0</v>
      </c>
      <c r="AP429" s="35">
        <f>H429*(1-0)</f>
        <v>0</v>
      </c>
      <c r="AQ429" s="62" t="s">
        <v>127</v>
      </c>
      <c r="AV429" s="35">
        <f>ROUND(AW429+AX429,2)</f>
        <v>0</v>
      </c>
      <c r="AW429" s="35">
        <f>ROUND(G429*AO429,2)</f>
        <v>0</v>
      </c>
      <c r="AX429" s="35">
        <f>ROUND(G429*AP429,2)</f>
        <v>0</v>
      </c>
      <c r="AY429" s="62" t="s">
        <v>632</v>
      </c>
      <c r="AZ429" s="62" t="s">
        <v>867</v>
      </c>
      <c r="BA429" s="46" t="s">
        <v>868</v>
      </c>
      <c r="BC429" s="35">
        <f>AW429+AX429</f>
        <v>0</v>
      </c>
      <c r="BD429" s="35">
        <f>H429/(100-BE429)*100</f>
        <v>0</v>
      </c>
      <c r="BE429" s="35">
        <v>0</v>
      </c>
      <c r="BF429" s="35">
        <f>429</f>
        <v>429</v>
      </c>
      <c r="BH429" s="35">
        <f>G429*AO429</f>
        <v>0</v>
      </c>
      <c r="BI429" s="35">
        <f>G429*AP429</f>
        <v>0</v>
      </c>
      <c r="BJ429" s="35">
        <f>G429*H429</f>
        <v>0</v>
      </c>
      <c r="BK429" s="62" t="s">
        <v>135</v>
      </c>
      <c r="BL429" s="35">
        <v>13</v>
      </c>
      <c r="BW429" s="35">
        <v>21</v>
      </c>
      <c r="BX429" s="3" t="s">
        <v>933</v>
      </c>
    </row>
    <row r="430" spans="1:76">
      <c r="A430" s="1" t="s">
        <v>934</v>
      </c>
      <c r="B430" s="2" t="s">
        <v>94</v>
      </c>
      <c r="C430" s="2" t="s">
        <v>935</v>
      </c>
      <c r="D430" s="92" t="s">
        <v>936</v>
      </c>
      <c r="E430" s="87"/>
      <c r="F430" s="2" t="s">
        <v>223</v>
      </c>
      <c r="G430" s="35">
        <v>14.78</v>
      </c>
      <c r="H430" s="61">
        <v>0</v>
      </c>
      <c r="I430" s="35">
        <f>ROUND(G430*H430,2)</f>
        <v>0</v>
      </c>
      <c r="K430" s="51"/>
      <c r="Z430" s="35">
        <f>ROUND(IF(AQ430="5",BJ430,0),2)</f>
        <v>0</v>
      </c>
      <c r="AB430" s="35">
        <f>ROUND(IF(AQ430="1",BH430,0),2)</f>
        <v>0</v>
      </c>
      <c r="AC430" s="35">
        <f>ROUND(IF(AQ430="1",BI430,0),2)</f>
        <v>0</v>
      </c>
      <c r="AD430" s="35">
        <f>ROUND(IF(AQ430="7",BH430,0),2)</f>
        <v>0</v>
      </c>
      <c r="AE430" s="35">
        <f>ROUND(IF(AQ430="7",BI430,0),2)</f>
        <v>0</v>
      </c>
      <c r="AF430" s="35">
        <f>ROUND(IF(AQ430="2",BH430,0),2)</f>
        <v>0</v>
      </c>
      <c r="AG430" s="35">
        <f>ROUND(IF(AQ430="2",BI430,0),2)</f>
        <v>0</v>
      </c>
      <c r="AH430" s="35">
        <f>ROUND(IF(AQ430="0",BJ430,0),2)</f>
        <v>0</v>
      </c>
      <c r="AI430" s="46" t="s">
        <v>94</v>
      </c>
      <c r="AJ430" s="35">
        <f>IF(AN430=0,I430,0)</f>
        <v>0</v>
      </c>
      <c r="AK430" s="35">
        <f>IF(AN430=12,I430,0)</f>
        <v>0</v>
      </c>
      <c r="AL430" s="35">
        <f>IF(AN430=21,I430,0)</f>
        <v>0</v>
      </c>
      <c r="AN430" s="35">
        <v>21</v>
      </c>
      <c r="AO430" s="35">
        <f>H430*0</f>
        <v>0</v>
      </c>
      <c r="AP430" s="35">
        <f>H430*(1-0)</f>
        <v>0</v>
      </c>
      <c r="AQ430" s="62" t="s">
        <v>127</v>
      </c>
      <c r="AV430" s="35">
        <f>ROUND(AW430+AX430,2)</f>
        <v>0</v>
      </c>
      <c r="AW430" s="35">
        <f>ROUND(G430*AO430,2)</f>
        <v>0</v>
      </c>
      <c r="AX430" s="35">
        <f>ROUND(G430*AP430,2)</f>
        <v>0</v>
      </c>
      <c r="AY430" s="62" t="s">
        <v>632</v>
      </c>
      <c r="AZ430" s="62" t="s">
        <v>867</v>
      </c>
      <c r="BA430" s="46" t="s">
        <v>868</v>
      </c>
      <c r="BC430" s="35">
        <f>AW430+AX430</f>
        <v>0</v>
      </c>
      <c r="BD430" s="35">
        <f>H430/(100-BE430)*100</f>
        <v>0</v>
      </c>
      <c r="BE430" s="35">
        <v>0</v>
      </c>
      <c r="BF430" s="35">
        <f>430</f>
        <v>430</v>
      </c>
      <c r="BH430" s="35">
        <f>G430*AO430</f>
        <v>0</v>
      </c>
      <c r="BI430" s="35">
        <f>G430*AP430</f>
        <v>0</v>
      </c>
      <c r="BJ430" s="35">
        <f>G430*H430</f>
        <v>0</v>
      </c>
      <c r="BK430" s="62" t="s">
        <v>135</v>
      </c>
      <c r="BL430" s="35">
        <v>13</v>
      </c>
      <c r="BW430" s="35">
        <v>21</v>
      </c>
      <c r="BX430" s="3" t="s">
        <v>936</v>
      </c>
    </row>
    <row r="431" spans="1:76" ht="13.5" customHeight="1">
      <c r="A431" s="68"/>
      <c r="C431" s="72" t="s">
        <v>337</v>
      </c>
      <c r="D431" s="178" t="s">
        <v>937</v>
      </c>
      <c r="E431" s="179"/>
      <c r="F431" s="179"/>
      <c r="G431" s="179"/>
      <c r="H431" s="180"/>
      <c r="I431" s="179"/>
      <c r="J431" s="179"/>
      <c r="K431" s="181"/>
    </row>
    <row r="432" spans="1:76">
      <c r="A432" s="68"/>
      <c r="D432" s="69" t="s">
        <v>938</v>
      </c>
      <c r="E432" s="70" t="s">
        <v>4</v>
      </c>
      <c r="G432" s="71">
        <v>6.4104000000000001</v>
      </c>
      <c r="K432" s="51"/>
    </row>
    <row r="433" spans="1:76">
      <c r="A433" s="68"/>
      <c r="D433" s="69" t="s">
        <v>939</v>
      </c>
      <c r="E433" s="70" t="s">
        <v>4</v>
      </c>
      <c r="G433" s="71">
        <v>8.3696400000000004</v>
      </c>
      <c r="K433" s="51"/>
    </row>
    <row r="434" spans="1:76">
      <c r="A434" s="1" t="s">
        <v>940</v>
      </c>
      <c r="B434" s="2" t="s">
        <v>94</v>
      </c>
      <c r="C434" s="2" t="s">
        <v>941</v>
      </c>
      <c r="D434" s="92" t="s">
        <v>942</v>
      </c>
      <c r="E434" s="87"/>
      <c r="F434" s="2" t="s">
        <v>223</v>
      </c>
      <c r="G434" s="35">
        <v>5.4370000000000003</v>
      </c>
      <c r="H434" s="61">
        <v>0</v>
      </c>
      <c r="I434" s="35">
        <f>ROUND(G434*H434,2)</f>
        <v>0</v>
      </c>
      <c r="K434" s="51"/>
      <c r="Z434" s="35">
        <f>ROUND(IF(AQ434="5",BJ434,0),2)</f>
        <v>0</v>
      </c>
      <c r="AB434" s="35">
        <f>ROUND(IF(AQ434="1",BH434,0),2)</f>
        <v>0</v>
      </c>
      <c r="AC434" s="35">
        <f>ROUND(IF(AQ434="1",BI434,0),2)</f>
        <v>0</v>
      </c>
      <c r="AD434" s="35">
        <f>ROUND(IF(AQ434="7",BH434,0),2)</f>
        <v>0</v>
      </c>
      <c r="AE434" s="35">
        <f>ROUND(IF(AQ434="7",BI434,0),2)</f>
        <v>0</v>
      </c>
      <c r="AF434" s="35">
        <f>ROUND(IF(AQ434="2",BH434,0),2)</f>
        <v>0</v>
      </c>
      <c r="AG434" s="35">
        <f>ROUND(IF(AQ434="2",BI434,0),2)</f>
        <v>0</v>
      </c>
      <c r="AH434" s="35">
        <f>ROUND(IF(AQ434="0",BJ434,0),2)</f>
        <v>0</v>
      </c>
      <c r="AI434" s="46" t="s">
        <v>94</v>
      </c>
      <c r="AJ434" s="35">
        <f>IF(AN434=0,I434,0)</f>
        <v>0</v>
      </c>
      <c r="AK434" s="35">
        <f>IF(AN434=12,I434,0)</f>
        <v>0</v>
      </c>
      <c r="AL434" s="35">
        <f>IF(AN434=21,I434,0)</f>
        <v>0</v>
      </c>
      <c r="AN434" s="35">
        <v>21</v>
      </c>
      <c r="AO434" s="35">
        <f>H434*0</f>
        <v>0</v>
      </c>
      <c r="AP434" s="35">
        <f>H434*(1-0)</f>
        <v>0</v>
      </c>
      <c r="AQ434" s="62" t="s">
        <v>127</v>
      </c>
      <c r="AV434" s="35">
        <f>ROUND(AW434+AX434,2)</f>
        <v>0</v>
      </c>
      <c r="AW434" s="35">
        <f>ROUND(G434*AO434,2)</f>
        <v>0</v>
      </c>
      <c r="AX434" s="35">
        <f>ROUND(G434*AP434,2)</f>
        <v>0</v>
      </c>
      <c r="AY434" s="62" t="s">
        <v>632</v>
      </c>
      <c r="AZ434" s="62" t="s">
        <v>867</v>
      </c>
      <c r="BA434" s="46" t="s">
        <v>868</v>
      </c>
      <c r="BC434" s="35">
        <f>AW434+AX434</f>
        <v>0</v>
      </c>
      <c r="BD434" s="35">
        <f>H434/(100-BE434)*100</f>
        <v>0</v>
      </c>
      <c r="BE434" s="35">
        <v>0</v>
      </c>
      <c r="BF434" s="35">
        <f>434</f>
        <v>434</v>
      </c>
      <c r="BH434" s="35">
        <f>G434*AO434</f>
        <v>0</v>
      </c>
      <c r="BI434" s="35">
        <f>G434*AP434</f>
        <v>0</v>
      </c>
      <c r="BJ434" s="35">
        <f>G434*H434</f>
        <v>0</v>
      </c>
      <c r="BK434" s="62" t="s">
        <v>135</v>
      </c>
      <c r="BL434" s="35">
        <v>13</v>
      </c>
      <c r="BW434" s="35">
        <v>21</v>
      </c>
      <c r="BX434" s="3" t="s">
        <v>942</v>
      </c>
    </row>
    <row r="435" spans="1:76" ht="13.5" customHeight="1">
      <c r="A435" s="68"/>
      <c r="C435" s="72" t="s">
        <v>337</v>
      </c>
      <c r="D435" s="178" t="s">
        <v>937</v>
      </c>
      <c r="E435" s="179"/>
      <c r="F435" s="179"/>
      <c r="G435" s="179"/>
      <c r="H435" s="180"/>
      <c r="I435" s="179"/>
      <c r="J435" s="179"/>
      <c r="K435" s="181"/>
    </row>
    <row r="436" spans="1:76">
      <c r="A436" s="68"/>
      <c r="D436" s="69" t="s">
        <v>943</v>
      </c>
      <c r="E436" s="70" t="s">
        <v>4</v>
      </c>
      <c r="G436" s="71">
        <v>0.36737999999999998</v>
      </c>
      <c r="K436" s="51"/>
    </row>
    <row r="437" spans="1:76">
      <c r="A437" s="68"/>
      <c r="D437" s="69" t="s">
        <v>944</v>
      </c>
      <c r="E437" s="70" t="s">
        <v>4</v>
      </c>
      <c r="G437" s="71">
        <v>2.4476</v>
      </c>
      <c r="K437" s="51"/>
    </row>
    <row r="438" spans="1:76">
      <c r="A438" s="68"/>
      <c r="D438" s="69" t="s">
        <v>945</v>
      </c>
      <c r="E438" s="70" t="s">
        <v>4</v>
      </c>
      <c r="G438" s="71">
        <v>2.6224099999999999</v>
      </c>
      <c r="K438" s="51"/>
    </row>
    <row r="439" spans="1:76">
      <c r="A439" s="1" t="s">
        <v>946</v>
      </c>
      <c r="B439" s="2" t="s">
        <v>94</v>
      </c>
      <c r="C439" s="2" t="s">
        <v>947</v>
      </c>
      <c r="D439" s="92" t="s">
        <v>948</v>
      </c>
      <c r="E439" s="87"/>
      <c r="F439" s="2" t="s">
        <v>223</v>
      </c>
      <c r="G439" s="35">
        <v>27.257999999999999</v>
      </c>
      <c r="H439" s="61">
        <v>0</v>
      </c>
      <c r="I439" s="35">
        <f>ROUND(G439*H439,2)</f>
        <v>0</v>
      </c>
      <c r="K439" s="51"/>
      <c r="Z439" s="35">
        <f>ROUND(IF(AQ439="5",BJ439,0),2)</f>
        <v>0</v>
      </c>
      <c r="AB439" s="35">
        <f>ROUND(IF(AQ439="1",BH439,0),2)</f>
        <v>0</v>
      </c>
      <c r="AC439" s="35">
        <f>ROUND(IF(AQ439="1",BI439,0),2)</f>
        <v>0</v>
      </c>
      <c r="AD439" s="35">
        <f>ROUND(IF(AQ439="7",BH439,0),2)</f>
        <v>0</v>
      </c>
      <c r="AE439" s="35">
        <f>ROUND(IF(AQ439="7",BI439,0),2)</f>
        <v>0</v>
      </c>
      <c r="AF439" s="35">
        <f>ROUND(IF(AQ439="2",BH439,0),2)</f>
        <v>0</v>
      </c>
      <c r="AG439" s="35">
        <f>ROUND(IF(AQ439="2",BI439,0),2)</f>
        <v>0</v>
      </c>
      <c r="AH439" s="35">
        <f>ROUND(IF(AQ439="0",BJ439,0),2)</f>
        <v>0</v>
      </c>
      <c r="AI439" s="46" t="s">
        <v>94</v>
      </c>
      <c r="AJ439" s="35">
        <f>IF(AN439=0,I439,0)</f>
        <v>0</v>
      </c>
      <c r="AK439" s="35">
        <f>IF(AN439=12,I439,0)</f>
        <v>0</v>
      </c>
      <c r="AL439" s="35">
        <f>IF(AN439=21,I439,0)</f>
        <v>0</v>
      </c>
      <c r="AN439" s="35">
        <v>21</v>
      </c>
      <c r="AO439" s="35">
        <f>H439*0</f>
        <v>0</v>
      </c>
      <c r="AP439" s="35">
        <f>H439*(1-0)</f>
        <v>0</v>
      </c>
      <c r="AQ439" s="62" t="s">
        <v>127</v>
      </c>
      <c r="AV439" s="35">
        <f>ROUND(AW439+AX439,2)</f>
        <v>0</v>
      </c>
      <c r="AW439" s="35">
        <f>ROUND(G439*AO439,2)</f>
        <v>0</v>
      </c>
      <c r="AX439" s="35">
        <f>ROUND(G439*AP439,2)</f>
        <v>0</v>
      </c>
      <c r="AY439" s="62" t="s">
        <v>632</v>
      </c>
      <c r="AZ439" s="62" t="s">
        <v>867</v>
      </c>
      <c r="BA439" s="46" t="s">
        <v>868</v>
      </c>
      <c r="BC439" s="35">
        <f>AW439+AX439</f>
        <v>0</v>
      </c>
      <c r="BD439" s="35">
        <f>H439/(100-BE439)*100</f>
        <v>0</v>
      </c>
      <c r="BE439" s="35">
        <v>0</v>
      </c>
      <c r="BF439" s="35">
        <f>439</f>
        <v>439</v>
      </c>
      <c r="BH439" s="35">
        <f>G439*AO439</f>
        <v>0</v>
      </c>
      <c r="BI439" s="35">
        <f>G439*AP439</f>
        <v>0</v>
      </c>
      <c r="BJ439" s="35">
        <f>G439*H439</f>
        <v>0</v>
      </c>
      <c r="BK439" s="62" t="s">
        <v>135</v>
      </c>
      <c r="BL439" s="35">
        <v>13</v>
      </c>
      <c r="BW439" s="35">
        <v>21</v>
      </c>
      <c r="BX439" s="3" t="s">
        <v>948</v>
      </c>
    </row>
    <row r="440" spans="1:76" ht="13.5" customHeight="1">
      <c r="A440" s="68"/>
      <c r="C440" s="72" t="s">
        <v>337</v>
      </c>
      <c r="D440" s="178" t="s">
        <v>949</v>
      </c>
      <c r="E440" s="179"/>
      <c r="F440" s="179"/>
      <c r="G440" s="179"/>
      <c r="H440" s="180"/>
      <c r="I440" s="179"/>
      <c r="J440" s="179"/>
      <c r="K440" s="181"/>
    </row>
    <row r="441" spans="1:76">
      <c r="A441" s="68"/>
      <c r="D441" s="69" t="s">
        <v>950</v>
      </c>
      <c r="E441" s="70" t="s">
        <v>951</v>
      </c>
      <c r="G441" s="71">
        <v>27.257999999999999</v>
      </c>
      <c r="K441" s="51"/>
    </row>
    <row r="442" spans="1:76">
      <c r="A442" s="1" t="s">
        <v>952</v>
      </c>
      <c r="B442" s="2" t="s">
        <v>94</v>
      </c>
      <c r="C442" s="2" t="s">
        <v>242</v>
      </c>
      <c r="D442" s="92" t="s">
        <v>953</v>
      </c>
      <c r="E442" s="87"/>
      <c r="F442" s="2" t="s">
        <v>223</v>
      </c>
      <c r="G442" s="35">
        <v>1.5189999999999999</v>
      </c>
      <c r="H442" s="61">
        <v>0</v>
      </c>
      <c r="I442" s="35">
        <f>ROUND(G442*H442,2)</f>
        <v>0</v>
      </c>
      <c r="K442" s="51"/>
      <c r="Z442" s="35">
        <f>ROUND(IF(AQ442="5",BJ442,0),2)</f>
        <v>0</v>
      </c>
      <c r="AB442" s="35">
        <f>ROUND(IF(AQ442="1",BH442,0),2)</f>
        <v>0</v>
      </c>
      <c r="AC442" s="35">
        <f>ROUND(IF(AQ442="1",BI442,0),2)</f>
        <v>0</v>
      </c>
      <c r="AD442" s="35">
        <f>ROUND(IF(AQ442="7",BH442,0),2)</f>
        <v>0</v>
      </c>
      <c r="AE442" s="35">
        <f>ROUND(IF(AQ442="7",BI442,0),2)</f>
        <v>0</v>
      </c>
      <c r="AF442" s="35">
        <f>ROUND(IF(AQ442="2",BH442,0),2)</f>
        <v>0</v>
      </c>
      <c r="AG442" s="35">
        <f>ROUND(IF(AQ442="2",BI442,0),2)</f>
        <v>0</v>
      </c>
      <c r="AH442" s="35">
        <f>ROUND(IF(AQ442="0",BJ442,0),2)</f>
        <v>0</v>
      </c>
      <c r="AI442" s="46" t="s">
        <v>94</v>
      </c>
      <c r="AJ442" s="35">
        <f>IF(AN442=0,I442,0)</f>
        <v>0</v>
      </c>
      <c r="AK442" s="35">
        <f>IF(AN442=12,I442,0)</f>
        <v>0</v>
      </c>
      <c r="AL442" s="35">
        <f>IF(AN442=21,I442,0)</f>
        <v>0</v>
      </c>
      <c r="AN442" s="35">
        <v>21</v>
      </c>
      <c r="AO442" s="35">
        <f>H442*0</f>
        <v>0</v>
      </c>
      <c r="AP442" s="35">
        <f>H442*(1-0)</f>
        <v>0</v>
      </c>
      <c r="AQ442" s="62" t="s">
        <v>127</v>
      </c>
      <c r="AV442" s="35">
        <f>ROUND(AW442+AX442,2)</f>
        <v>0</v>
      </c>
      <c r="AW442" s="35">
        <f>ROUND(G442*AO442,2)</f>
        <v>0</v>
      </c>
      <c r="AX442" s="35">
        <f>ROUND(G442*AP442,2)</f>
        <v>0</v>
      </c>
      <c r="AY442" s="62" t="s">
        <v>632</v>
      </c>
      <c r="AZ442" s="62" t="s">
        <v>867</v>
      </c>
      <c r="BA442" s="46" t="s">
        <v>868</v>
      </c>
      <c r="BC442" s="35">
        <f>AW442+AX442</f>
        <v>0</v>
      </c>
      <c r="BD442" s="35">
        <f>H442/(100-BE442)*100</f>
        <v>0</v>
      </c>
      <c r="BE442" s="35">
        <v>0</v>
      </c>
      <c r="BF442" s="35">
        <f>442</f>
        <v>442</v>
      </c>
      <c r="BH442" s="35">
        <f>G442*AO442</f>
        <v>0</v>
      </c>
      <c r="BI442" s="35">
        <f>G442*AP442</f>
        <v>0</v>
      </c>
      <c r="BJ442" s="35">
        <f>G442*H442</f>
        <v>0</v>
      </c>
      <c r="BK442" s="62" t="s">
        <v>135</v>
      </c>
      <c r="BL442" s="35">
        <v>13</v>
      </c>
      <c r="BW442" s="35">
        <v>21</v>
      </c>
      <c r="BX442" s="3" t="s">
        <v>953</v>
      </c>
    </row>
    <row r="443" spans="1:76" ht="13.5" customHeight="1">
      <c r="A443" s="68"/>
      <c r="C443" s="72" t="s">
        <v>337</v>
      </c>
      <c r="D443" s="178" t="s">
        <v>949</v>
      </c>
      <c r="E443" s="179"/>
      <c r="F443" s="179"/>
      <c r="G443" s="179"/>
      <c r="H443" s="180"/>
      <c r="I443" s="179"/>
      <c r="J443" s="179"/>
      <c r="K443" s="181"/>
    </row>
    <row r="444" spans="1:76">
      <c r="A444" s="68"/>
      <c r="D444" s="69" t="s">
        <v>954</v>
      </c>
      <c r="E444" s="70" t="s">
        <v>4</v>
      </c>
      <c r="G444" s="71">
        <v>4.3680000000000003</v>
      </c>
      <c r="K444" s="51"/>
    </row>
    <row r="445" spans="1:76">
      <c r="A445" s="68"/>
      <c r="D445" s="69" t="s">
        <v>955</v>
      </c>
      <c r="E445" s="70" t="s">
        <v>4</v>
      </c>
      <c r="G445" s="71">
        <v>1.85328</v>
      </c>
      <c r="K445" s="51"/>
    </row>
    <row r="446" spans="1:76">
      <c r="A446" s="68"/>
      <c r="D446" s="69" t="s">
        <v>956</v>
      </c>
      <c r="E446" s="70" t="s">
        <v>898</v>
      </c>
      <c r="G446" s="71">
        <v>-5.07</v>
      </c>
      <c r="K446" s="51"/>
    </row>
    <row r="447" spans="1:76">
      <c r="A447" s="68"/>
      <c r="D447" s="69" t="s">
        <v>943</v>
      </c>
      <c r="E447" s="70" t="s">
        <v>4</v>
      </c>
      <c r="G447" s="71">
        <v>0.36737999999999998</v>
      </c>
      <c r="K447" s="51"/>
    </row>
    <row r="448" spans="1:76">
      <c r="A448" s="1" t="s">
        <v>957</v>
      </c>
      <c r="B448" s="2" t="s">
        <v>94</v>
      </c>
      <c r="C448" s="2" t="s">
        <v>958</v>
      </c>
      <c r="D448" s="92" t="s">
        <v>959</v>
      </c>
      <c r="E448" s="87"/>
      <c r="F448" s="2" t="s">
        <v>223</v>
      </c>
      <c r="G448" s="35">
        <v>5.07</v>
      </c>
      <c r="H448" s="61">
        <v>0</v>
      </c>
      <c r="I448" s="35">
        <f>ROUND(G448*H448,2)</f>
        <v>0</v>
      </c>
      <c r="K448" s="51"/>
      <c r="Z448" s="35">
        <f>ROUND(IF(AQ448="5",BJ448,0),2)</f>
        <v>0</v>
      </c>
      <c r="AB448" s="35">
        <f>ROUND(IF(AQ448="1",BH448,0),2)</f>
        <v>0</v>
      </c>
      <c r="AC448" s="35">
        <f>ROUND(IF(AQ448="1",BI448,0),2)</f>
        <v>0</v>
      </c>
      <c r="AD448" s="35">
        <f>ROUND(IF(AQ448="7",BH448,0),2)</f>
        <v>0</v>
      </c>
      <c r="AE448" s="35">
        <f>ROUND(IF(AQ448="7",BI448,0),2)</f>
        <v>0</v>
      </c>
      <c r="AF448" s="35">
        <f>ROUND(IF(AQ448="2",BH448,0),2)</f>
        <v>0</v>
      </c>
      <c r="AG448" s="35">
        <f>ROUND(IF(AQ448="2",BI448,0),2)</f>
        <v>0</v>
      </c>
      <c r="AH448" s="35">
        <f>ROUND(IF(AQ448="0",BJ448,0),2)</f>
        <v>0</v>
      </c>
      <c r="AI448" s="46" t="s">
        <v>94</v>
      </c>
      <c r="AJ448" s="35">
        <f>IF(AN448=0,I448,0)</f>
        <v>0</v>
      </c>
      <c r="AK448" s="35">
        <f>IF(AN448=12,I448,0)</f>
        <v>0</v>
      </c>
      <c r="AL448" s="35">
        <f>IF(AN448=21,I448,0)</f>
        <v>0</v>
      </c>
      <c r="AN448" s="35">
        <v>21</v>
      </c>
      <c r="AO448" s="35">
        <f>H448*0</f>
        <v>0</v>
      </c>
      <c r="AP448" s="35">
        <f>H448*(1-0)</f>
        <v>0</v>
      </c>
      <c r="AQ448" s="62" t="s">
        <v>127</v>
      </c>
      <c r="AV448" s="35">
        <f>ROUND(AW448+AX448,2)</f>
        <v>0</v>
      </c>
      <c r="AW448" s="35">
        <f>ROUND(G448*AO448,2)</f>
        <v>0</v>
      </c>
      <c r="AX448" s="35">
        <f>ROUND(G448*AP448,2)</f>
        <v>0</v>
      </c>
      <c r="AY448" s="62" t="s">
        <v>632</v>
      </c>
      <c r="AZ448" s="62" t="s">
        <v>867</v>
      </c>
      <c r="BA448" s="46" t="s">
        <v>868</v>
      </c>
      <c r="BC448" s="35">
        <f>AW448+AX448</f>
        <v>0</v>
      </c>
      <c r="BD448" s="35">
        <f>H448/(100-BE448)*100</f>
        <v>0</v>
      </c>
      <c r="BE448" s="35">
        <v>0</v>
      </c>
      <c r="BF448" s="35">
        <f>448</f>
        <v>448</v>
      </c>
      <c r="BH448" s="35">
        <f>G448*AO448</f>
        <v>0</v>
      </c>
      <c r="BI448" s="35">
        <f>G448*AP448</f>
        <v>0</v>
      </c>
      <c r="BJ448" s="35">
        <f>G448*H448</f>
        <v>0</v>
      </c>
      <c r="BK448" s="62" t="s">
        <v>135</v>
      </c>
      <c r="BL448" s="35">
        <v>13</v>
      </c>
      <c r="BW448" s="35">
        <v>21</v>
      </c>
      <c r="BX448" s="3" t="s">
        <v>959</v>
      </c>
    </row>
    <row r="449" spans="1:76" ht="13.5" customHeight="1">
      <c r="A449" s="68"/>
      <c r="C449" s="72" t="s">
        <v>337</v>
      </c>
      <c r="D449" s="178" t="s">
        <v>949</v>
      </c>
      <c r="E449" s="179"/>
      <c r="F449" s="179"/>
      <c r="G449" s="179"/>
      <c r="H449" s="180"/>
      <c r="I449" s="179"/>
      <c r="J449" s="179"/>
      <c r="K449" s="181"/>
    </row>
    <row r="450" spans="1:76">
      <c r="A450" s="68"/>
      <c r="D450" s="69" t="s">
        <v>960</v>
      </c>
      <c r="E450" s="70" t="s">
        <v>4</v>
      </c>
      <c r="G450" s="71">
        <v>5.0700099999999999</v>
      </c>
      <c r="K450" s="51"/>
    </row>
    <row r="451" spans="1:76" ht="25.5">
      <c r="A451" s="1" t="s">
        <v>961</v>
      </c>
      <c r="B451" s="2" t="s">
        <v>94</v>
      </c>
      <c r="C451" s="2" t="s">
        <v>962</v>
      </c>
      <c r="D451" s="92" t="s">
        <v>963</v>
      </c>
      <c r="E451" s="87"/>
      <c r="F451" s="2" t="s">
        <v>223</v>
      </c>
      <c r="G451" s="35">
        <v>13.629</v>
      </c>
      <c r="H451" s="61">
        <v>0</v>
      </c>
      <c r="I451" s="35">
        <f>ROUND(G451*H451,2)</f>
        <v>0</v>
      </c>
      <c r="K451" s="51"/>
      <c r="Z451" s="35">
        <f>ROUND(IF(AQ451="5",BJ451,0),2)</f>
        <v>0</v>
      </c>
      <c r="AB451" s="35">
        <f>ROUND(IF(AQ451="1",BH451,0),2)</f>
        <v>0</v>
      </c>
      <c r="AC451" s="35">
        <f>ROUND(IF(AQ451="1",BI451,0),2)</f>
        <v>0</v>
      </c>
      <c r="AD451" s="35">
        <f>ROUND(IF(AQ451="7",BH451,0),2)</f>
        <v>0</v>
      </c>
      <c r="AE451" s="35">
        <f>ROUND(IF(AQ451="7",BI451,0),2)</f>
        <v>0</v>
      </c>
      <c r="AF451" s="35">
        <f>ROUND(IF(AQ451="2",BH451,0),2)</f>
        <v>0</v>
      </c>
      <c r="AG451" s="35">
        <f>ROUND(IF(AQ451="2",BI451,0),2)</f>
        <v>0</v>
      </c>
      <c r="AH451" s="35">
        <f>ROUND(IF(AQ451="0",BJ451,0),2)</f>
        <v>0</v>
      </c>
      <c r="AI451" s="46" t="s">
        <v>94</v>
      </c>
      <c r="AJ451" s="35">
        <f>IF(AN451=0,I451,0)</f>
        <v>0</v>
      </c>
      <c r="AK451" s="35">
        <f>IF(AN451=12,I451,0)</f>
        <v>0</v>
      </c>
      <c r="AL451" s="35">
        <f>IF(AN451=21,I451,0)</f>
        <v>0</v>
      </c>
      <c r="AN451" s="35">
        <v>21</v>
      </c>
      <c r="AO451" s="35">
        <f>H451*0</f>
        <v>0</v>
      </c>
      <c r="AP451" s="35">
        <f>H451*(1-0)</f>
        <v>0</v>
      </c>
      <c r="AQ451" s="62" t="s">
        <v>127</v>
      </c>
      <c r="AV451" s="35">
        <f>ROUND(AW451+AX451,2)</f>
        <v>0</v>
      </c>
      <c r="AW451" s="35">
        <f>ROUND(G451*AO451,2)</f>
        <v>0</v>
      </c>
      <c r="AX451" s="35">
        <f>ROUND(G451*AP451,2)</f>
        <v>0</v>
      </c>
      <c r="AY451" s="62" t="s">
        <v>632</v>
      </c>
      <c r="AZ451" s="62" t="s">
        <v>867</v>
      </c>
      <c r="BA451" s="46" t="s">
        <v>868</v>
      </c>
      <c r="BC451" s="35">
        <f>AW451+AX451</f>
        <v>0</v>
      </c>
      <c r="BD451" s="35">
        <f>H451/(100-BE451)*100</f>
        <v>0</v>
      </c>
      <c r="BE451" s="35">
        <v>0</v>
      </c>
      <c r="BF451" s="35">
        <f>451</f>
        <v>451</v>
      </c>
      <c r="BH451" s="35">
        <f>G451*AO451</f>
        <v>0</v>
      </c>
      <c r="BI451" s="35">
        <f>G451*AP451</f>
        <v>0</v>
      </c>
      <c r="BJ451" s="35">
        <f>G451*H451</f>
        <v>0</v>
      </c>
      <c r="BK451" s="62" t="s">
        <v>135</v>
      </c>
      <c r="BL451" s="35">
        <v>13</v>
      </c>
      <c r="BW451" s="35">
        <v>21</v>
      </c>
      <c r="BX451" s="3" t="s">
        <v>963</v>
      </c>
    </row>
    <row r="452" spans="1:76">
      <c r="A452" s="68"/>
      <c r="D452" s="69" t="s">
        <v>964</v>
      </c>
      <c r="E452" s="70" t="s">
        <v>951</v>
      </c>
      <c r="G452" s="71">
        <v>13.629</v>
      </c>
      <c r="K452" s="51"/>
    </row>
    <row r="453" spans="1:76">
      <c r="A453" s="1" t="s">
        <v>965</v>
      </c>
      <c r="B453" s="2" t="s">
        <v>94</v>
      </c>
      <c r="C453" s="2" t="s">
        <v>966</v>
      </c>
      <c r="D453" s="92" t="s">
        <v>967</v>
      </c>
      <c r="E453" s="87"/>
      <c r="F453" s="2" t="s">
        <v>223</v>
      </c>
      <c r="G453" s="35">
        <v>20.218</v>
      </c>
      <c r="H453" s="61">
        <v>0</v>
      </c>
      <c r="I453" s="35">
        <f>ROUND(G453*H453,2)</f>
        <v>0</v>
      </c>
      <c r="K453" s="51"/>
      <c r="Z453" s="35">
        <f>ROUND(IF(AQ453="5",BJ453,0),2)</f>
        <v>0</v>
      </c>
      <c r="AB453" s="35">
        <f>ROUND(IF(AQ453="1",BH453,0),2)</f>
        <v>0</v>
      </c>
      <c r="AC453" s="35">
        <f>ROUND(IF(AQ453="1",BI453,0),2)</f>
        <v>0</v>
      </c>
      <c r="AD453" s="35">
        <f>ROUND(IF(AQ453="7",BH453,0),2)</f>
        <v>0</v>
      </c>
      <c r="AE453" s="35">
        <f>ROUND(IF(AQ453="7",BI453,0),2)</f>
        <v>0</v>
      </c>
      <c r="AF453" s="35">
        <f>ROUND(IF(AQ453="2",BH453,0),2)</f>
        <v>0</v>
      </c>
      <c r="AG453" s="35">
        <f>ROUND(IF(AQ453="2",BI453,0),2)</f>
        <v>0</v>
      </c>
      <c r="AH453" s="35">
        <f>ROUND(IF(AQ453="0",BJ453,0),2)</f>
        <v>0</v>
      </c>
      <c r="AI453" s="46" t="s">
        <v>94</v>
      </c>
      <c r="AJ453" s="35">
        <f>IF(AN453=0,I453,0)</f>
        <v>0</v>
      </c>
      <c r="AK453" s="35">
        <f>IF(AN453=12,I453,0)</f>
        <v>0</v>
      </c>
      <c r="AL453" s="35">
        <f>IF(AN453=21,I453,0)</f>
        <v>0</v>
      </c>
      <c r="AN453" s="35">
        <v>21</v>
      </c>
      <c r="AO453" s="35">
        <f>H453*0</f>
        <v>0</v>
      </c>
      <c r="AP453" s="35">
        <f>H453*(1-0)</f>
        <v>0</v>
      </c>
      <c r="AQ453" s="62" t="s">
        <v>127</v>
      </c>
      <c r="AV453" s="35">
        <f>ROUND(AW453+AX453,2)</f>
        <v>0</v>
      </c>
      <c r="AW453" s="35">
        <f>ROUND(G453*AO453,2)</f>
        <v>0</v>
      </c>
      <c r="AX453" s="35">
        <f>ROUND(G453*AP453,2)</f>
        <v>0</v>
      </c>
      <c r="AY453" s="62" t="s">
        <v>632</v>
      </c>
      <c r="AZ453" s="62" t="s">
        <v>867</v>
      </c>
      <c r="BA453" s="46" t="s">
        <v>868</v>
      </c>
      <c r="BC453" s="35">
        <f>AW453+AX453</f>
        <v>0</v>
      </c>
      <c r="BD453" s="35">
        <f>H453/(100-BE453)*100</f>
        <v>0</v>
      </c>
      <c r="BE453" s="35">
        <v>0</v>
      </c>
      <c r="BF453" s="35">
        <f>453</f>
        <v>453</v>
      </c>
      <c r="BH453" s="35">
        <f>G453*AO453</f>
        <v>0</v>
      </c>
      <c r="BI453" s="35">
        <f>G453*AP453</f>
        <v>0</v>
      </c>
      <c r="BJ453" s="35">
        <f>G453*H453</f>
        <v>0</v>
      </c>
      <c r="BK453" s="62" t="s">
        <v>135</v>
      </c>
      <c r="BL453" s="35">
        <v>13</v>
      </c>
      <c r="BW453" s="35">
        <v>21</v>
      </c>
      <c r="BX453" s="3" t="s">
        <v>967</v>
      </c>
    </row>
    <row r="454" spans="1:76" ht="13.5" customHeight="1">
      <c r="A454" s="68"/>
      <c r="C454" s="72" t="s">
        <v>337</v>
      </c>
      <c r="D454" s="178" t="s">
        <v>968</v>
      </c>
      <c r="E454" s="179"/>
      <c r="F454" s="179"/>
      <c r="G454" s="179"/>
      <c r="H454" s="180"/>
      <c r="I454" s="179"/>
      <c r="J454" s="179"/>
      <c r="K454" s="181"/>
    </row>
    <row r="455" spans="1:76">
      <c r="A455" s="68"/>
      <c r="D455" s="69" t="s">
        <v>969</v>
      </c>
      <c r="E455" s="70" t="s">
        <v>4</v>
      </c>
      <c r="G455" s="71">
        <v>6.2212800000000001</v>
      </c>
      <c r="K455" s="51"/>
    </row>
    <row r="456" spans="1:76">
      <c r="A456" s="68"/>
      <c r="D456" s="69" t="s">
        <v>964</v>
      </c>
      <c r="E456" s="70" t="s">
        <v>951</v>
      </c>
      <c r="G456" s="71">
        <v>13.629</v>
      </c>
      <c r="K456" s="51"/>
    </row>
    <row r="457" spans="1:76">
      <c r="A457" s="68"/>
      <c r="D457" s="69" t="s">
        <v>943</v>
      </c>
      <c r="E457" s="70" t="s">
        <v>4</v>
      </c>
      <c r="G457" s="71">
        <v>0.36737999999999998</v>
      </c>
      <c r="K457" s="51"/>
    </row>
    <row r="458" spans="1:76">
      <c r="A458" s="1" t="s">
        <v>970</v>
      </c>
      <c r="B458" s="2" t="s">
        <v>94</v>
      </c>
      <c r="C458" s="2" t="s">
        <v>654</v>
      </c>
      <c r="D458" s="92" t="s">
        <v>971</v>
      </c>
      <c r="E458" s="87"/>
      <c r="F458" s="2" t="s">
        <v>223</v>
      </c>
      <c r="G458" s="35">
        <v>13.629</v>
      </c>
      <c r="H458" s="61">
        <v>0</v>
      </c>
      <c r="I458" s="35">
        <f>ROUND(G458*H458,2)</f>
        <v>0</v>
      </c>
      <c r="K458" s="51"/>
      <c r="Z458" s="35">
        <f>ROUND(IF(AQ458="5",BJ458,0),2)</f>
        <v>0</v>
      </c>
      <c r="AB458" s="35">
        <f>ROUND(IF(AQ458="1",BH458,0),2)</f>
        <v>0</v>
      </c>
      <c r="AC458" s="35">
        <f>ROUND(IF(AQ458="1",BI458,0),2)</f>
        <v>0</v>
      </c>
      <c r="AD458" s="35">
        <f>ROUND(IF(AQ458="7",BH458,0),2)</f>
        <v>0</v>
      </c>
      <c r="AE458" s="35">
        <f>ROUND(IF(AQ458="7",BI458,0),2)</f>
        <v>0</v>
      </c>
      <c r="AF458" s="35">
        <f>ROUND(IF(AQ458="2",BH458,0),2)</f>
        <v>0</v>
      </c>
      <c r="AG458" s="35">
        <f>ROUND(IF(AQ458="2",BI458,0),2)</f>
        <v>0</v>
      </c>
      <c r="AH458" s="35">
        <f>ROUND(IF(AQ458="0",BJ458,0),2)</f>
        <v>0</v>
      </c>
      <c r="AI458" s="46" t="s">
        <v>94</v>
      </c>
      <c r="AJ458" s="35">
        <f>IF(AN458=0,I458,0)</f>
        <v>0</v>
      </c>
      <c r="AK458" s="35">
        <f>IF(AN458=12,I458,0)</f>
        <v>0</v>
      </c>
      <c r="AL458" s="35">
        <f>IF(AN458=21,I458,0)</f>
        <v>0</v>
      </c>
      <c r="AN458" s="35">
        <v>21</v>
      </c>
      <c r="AO458" s="35">
        <f>H458*0</f>
        <v>0</v>
      </c>
      <c r="AP458" s="35">
        <f>H458*(1-0)</f>
        <v>0</v>
      </c>
      <c r="AQ458" s="62" t="s">
        <v>127</v>
      </c>
      <c r="AV458" s="35">
        <f>ROUND(AW458+AX458,2)</f>
        <v>0</v>
      </c>
      <c r="AW458" s="35">
        <f>ROUND(G458*AO458,2)</f>
        <v>0</v>
      </c>
      <c r="AX458" s="35">
        <f>ROUND(G458*AP458,2)</f>
        <v>0</v>
      </c>
      <c r="AY458" s="62" t="s">
        <v>632</v>
      </c>
      <c r="AZ458" s="62" t="s">
        <v>867</v>
      </c>
      <c r="BA458" s="46" t="s">
        <v>868</v>
      </c>
      <c r="BC458" s="35">
        <f>AW458+AX458</f>
        <v>0</v>
      </c>
      <c r="BD458" s="35">
        <f>H458/(100-BE458)*100</f>
        <v>0</v>
      </c>
      <c r="BE458" s="35">
        <v>0</v>
      </c>
      <c r="BF458" s="35">
        <f>458</f>
        <v>458</v>
      </c>
      <c r="BH458" s="35">
        <f>G458*AO458</f>
        <v>0</v>
      </c>
      <c r="BI458" s="35">
        <f>G458*AP458</f>
        <v>0</v>
      </c>
      <c r="BJ458" s="35">
        <f>G458*H458</f>
        <v>0</v>
      </c>
      <c r="BK458" s="62" t="s">
        <v>135</v>
      </c>
      <c r="BL458" s="35">
        <v>13</v>
      </c>
      <c r="BW458" s="35">
        <v>21</v>
      </c>
      <c r="BX458" s="3" t="s">
        <v>971</v>
      </c>
    </row>
    <row r="459" spans="1:76" ht="13.5" customHeight="1">
      <c r="A459" s="68"/>
      <c r="C459" s="72" t="s">
        <v>337</v>
      </c>
      <c r="D459" s="178" t="s">
        <v>972</v>
      </c>
      <c r="E459" s="179"/>
      <c r="F459" s="179"/>
      <c r="G459" s="179"/>
      <c r="H459" s="180"/>
      <c r="I459" s="179"/>
      <c r="J459" s="179"/>
      <c r="K459" s="181"/>
    </row>
    <row r="460" spans="1:76">
      <c r="A460" s="68"/>
      <c r="D460" s="69" t="s">
        <v>973</v>
      </c>
      <c r="E460" s="70" t="s">
        <v>4</v>
      </c>
      <c r="G460" s="71">
        <v>-6.2212800000000001</v>
      </c>
      <c r="K460" s="51"/>
    </row>
    <row r="461" spans="1:76">
      <c r="A461" s="68"/>
      <c r="D461" s="69" t="s">
        <v>974</v>
      </c>
      <c r="E461" s="70" t="s">
        <v>4</v>
      </c>
      <c r="G461" s="71">
        <v>8.8580000000000005</v>
      </c>
      <c r="K461" s="51"/>
    </row>
    <row r="462" spans="1:76">
      <c r="A462" s="68"/>
      <c r="D462" s="69" t="s">
        <v>975</v>
      </c>
      <c r="E462" s="70" t="s">
        <v>4</v>
      </c>
      <c r="G462" s="71">
        <v>10.992050000000001</v>
      </c>
      <c r="K462" s="51"/>
    </row>
    <row r="463" spans="1:76">
      <c r="A463" s="1" t="s">
        <v>976</v>
      </c>
      <c r="B463" s="2" t="s">
        <v>94</v>
      </c>
      <c r="C463" s="2" t="s">
        <v>977</v>
      </c>
      <c r="D463" s="92" t="s">
        <v>978</v>
      </c>
      <c r="E463" s="87"/>
      <c r="F463" s="2" t="s">
        <v>223</v>
      </c>
      <c r="G463" s="35">
        <v>3.4569999999999999</v>
      </c>
      <c r="H463" s="61">
        <v>0</v>
      </c>
      <c r="I463" s="35">
        <f>ROUND(G463*H463,2)</f>
        <v>0</v>
      </c>
      <c r="K463" s="51"/>
      <c r="Z463" s="35">
        <f>ROUND(IF(AQ463="5",BJ463,0),2)</f>
        <v>0</v>
      </c>
      <c r="AB463" s="35">
        <f>ROUND(IF(AQ463="1",BH463,0),2)</f>
        <v>0</v>
      </c>
      <c r="AC463" s="35">
        <f>ROUND(IF(AQ463="1",BI463,0),2)</f>
        <v>0</v>
      </c>
      <c r="AD463" s="35">
        <f>ROUND(IF(AQ463="7",BH463,0),2)</f>
        <v>0</v>
      </c>
      <c r="AE463" s="35">
        <f>ROUND(IF(AQ463="7",BI463,0),2)</f>
        <v>0</v>
      </c>
      <c r="AF463" s="35">
        <f>ROUND(IF(AQ463="2",BH463,0),2)</f>
        <v>0</v>
      </c>
      <c r="AG463" s="35">
        <f>ROUND(IF(AQ463="2",BI463,0),2)</f>
        <v>0</v>
      </c>
      <c r="AH463" s="35">
        <f>ROUND(IF(AQ463="0",BJ463,0),2)</f>
        <v>0</v>
      </c>
      <c r="AI463" s="46" t="s">
        <v>94</v>
      </c>
      <c r="AJ463" s="35">
        <f>IF(AN463=0,I463,0)</f>
        <v>0</v>
      </c>
      <c r="AK463" s="35">
        <f>IF(AN463=12,I463,0)</f>
        <v>0</v>
      </c>
      <c r="AL463" s="35">
        <f>IF(AN463=21,I463,0)</f>
        <v>0</v>
      </c>
      <c r="AN463" s="35">
        <v>21</v>
      </c>
      <c r="AO463" s="35">
        <f>H463*0</f>
        <v>0</v>
      </c>
      <c r="AP463" s="35">
        <f>H463*(1-0)</f>
        <v>0</v>
      </c>
      <c r="AQ463" s="62" t="s">
        <v>127</v>
      </c>
      <c r="AV463" s="35">
        <f>ROUND(AW463+AX463,2)</f>
        <v>0</v>
      </c>
      <c r="AW463" s="35">
        <f>ROUND(G463*AO463,2)</f>
        <v>0</v>
      </c>
      <c r="AX463" s="35">
        <f>ROUND(G463*AP463,2)</f>
        <v>0</v>
      </c>
      <c r="AY463" s="62" t="s">
        <v>632</v>
      </c>
      <c r="AZ463" s="62" t="s">
        <v>867</v>
      </c>
      <c r="BA463" s="46" t="s">
        <v>868</v>
      </c>
      <c r="BC463" s="35">
        <f>AW463+AX463</f>
        <v>0</v>
      </c>
      <c r="BD463" s="35">
        <f>H463/(100-BE463)*100</f>
        <v>0</v>
      </c>
      <c r="BE463" s="35">
        <v>0</v>
      </c>
      <c r="BF463" s="35">
        <f>463</f>
        <v>463</v>
      </c>
      <c r="BH463" s="35">
        <f>G463*AO463</f>
        <v>0</v>
      </c>
      <c r="BI463" s="35">
        <f>G463*AP463</f>
        <v>0</v>
      </c>
      <c r="BJ463" s="35">
        <f>G463*H463</f>
        <v>0</v>
      </c>
      <c r="BK463" s="62" t="s">
        <v>135</v>
      </c>
      <c r="BL463" s="35">
        <v>13</v>
      </c>
      <c r="BW463" s="35">
        <v>21</v>
      </c>
      <c r="BX463" s="3" t="s">
        <v>978</v>
      </c>
    </row>
    <row r="464" spans="1:76" ht="27" customHeight="1">
      <c r="A464" s="68"/>
      <c r="C464" s="72" t="s">
        <v>337</v>
      </c>
      <c r="D464" s="178" t="s">
        <v>979</v>
      </c>
      <c r="E464" s="179"/>
      <c r="F464" s="179"/>
      <c r="G464" s="179"/>
      <c r="H464" s="180"/>
      <c r="I464" s="179"/>
      <c r="J464" s="179"/>
      <c r="K464" s="181"/>
    </row>
    <row r="465" spans="1:76">
      <c r="A465" s="68"/>
      <c r="D465" s="69" t="s">
        <v>980</v>
      </c>
      <c r="E465" s="70" t="s">
        <v>4</v>
      </c>
      <c r="G465" s="71">
        <v>3.4573499999999999</v>
      </c>
      <c r="K465" s="51"/>
    </row>
    <row r="466" spans="1:76">
      <c r="A466" s="1" t="s">
        <v>981</v>
      </c>
      <c r="B466" s="2" t="s">
        <v>94</v>
      </c>
      <c r="C466" s="2" t="s">
        <v>251</v>
      </c>
      <c r="D466" s="92" t="s">
        <v>982</v>
      </c>
      <c r="E466" s="87"/>
      <c r="F466" s="2" t="s">
        <v>223</v>
      </c>
      <c r="G466" s="35">
        <v>1.151</v>
      </c>
      <c r="H466" s="61">
        <v>0</v>
      </c>
      <c r="I466" s="35">
        <f>ROUND(G466*H466,2)</f>
        <v>0</v>
      </c>
      <c r="K466" s="51"/>
      <c r="Z466" s="35">
        <f>ROUND(IF(AQ466="5",BJ466,0),2)</f>
        <v>0</v>
      </c>
      <c r="AB466" s="35">
        <f>ROUND(IF(AQ466="1",BH466,0),2)</f>
        <v>0</v>
      </c>
      <c r="AC466" s="35">
        <f>ROUND(IF(AQ466="1",BI466,0),2)</f>
        <v>0</v>
      </c>
      <c r="AD466" s="35">
        <f>ROUND(IF(AQ466="7",BH466,0),2)</f>
        <v>0</v>
      </c>
      <c r="AE466" s="35">
        <f>ROUND(IF(AQ466="7",BI466,0),2)</f>
        <v>0</v>
      </c>
      <c r="AF466" s="35">
        <f>ROUND(IF(AQ466="2",BH466,0),2)</f>
        <v>0</v>
      </c>
      <c r="AG466" s="35">
        <f>ROUND(IF(AQ466="2",BI466,0),2)</f>
        <v>0</v>
      </c>
      <c r="AH466" s="35">
        <f>ROUND(IF(AQ466="0",BJ466,0),2)</f>
        <v>0</v>
      </c>
      <c r="AI466" s="46" t="s">
        <v>94</v>
      </c>
      <c r="AJ466" s="35">
        <f>IF(AN466=0,I466,0)</f>
        <v>0</v>
      </c>
      <c r="AK466" s="35">
        <f>IF(AN466=12,I466,0)</f>
        <v>0</v>
      </c>
      <c r="AL466" s="35">
        <f>IF(AN466=21,I466,0)</f>
        <v>0</v>
      </c>
      <c r="AN466" s="35">
        <v>21</v>
      </c>
      <c r="AO466" s="35">
        <f>H466*0</f>
        <v>0</v>
      </c>
      <c r="AP466" s="35">
        <f>H466*(1-0)</f>
        <v>0</v>
      </c>
      <c r="AQ466" s="62" t="s">
        <v>127</v>
      </c>
      <c r="AV466" s="35">
        <f>ROUND(AW466+AX466,2)</f>
        <v>0</v>
      </c>
      <c r="AW466" s="35">
        <f>ROUND(G466*AO466,2)</f>
        <v>0</v>
      </c>
      <c r="AX466" s="35">
        <f>ROUND(G466*AP466,2)</f>
        <v>0</v>
      </c>
      <c r="AY466" s="62" t="s">
        <v>632</v>
      </c>
      <c r="AZ466" s="62" t="s">
        <v>867</v>
      </c>
      <c r="BA466" s="46" t="s">
        <v>868</v>
      </c>
      <c r="BC466" s="35">
        <f>AW466+AX466</f>
        <v>0</v>
      </c>
      <c r="BD466" s="35">
        <f>H466/(100-BE466)*100</f>
        <v>0</v>
      </c>
      <c r="BE466" s="35">
        <v>0</v>
      </c>
      <c r="BF466" s="35">
        <f>466</f>
        <v>466</v>
      </c>
      <c r="BH466" s="35">
        <f>G466*AO466</f>
        <v>0</v>
      </c>
      <c r="BI466" s="35">
        <f>G466*AP466</f>
        <v>0</v>
      </c>
      <c r="BJ466" s="35">
        <f>G466*H466</f>
        <v>0</v>
      </c>
      <c r="BK466" s="62" t="s">
        <v>135</v>
      </c>
      <c r="BL466" s="35">
        <v>13</v>
      </c>
      <c r="BW466" s="35">
        <v>21</v>
      </c>
      <c r="BX466" s="3" t="s">
        <v>982</v>
      </c>
    </row>
    <row r="467" spans="1:76">
      <c r="A467" s="1" t="s">
        <v>983</v>
      </c>
      <c r="B467" s="2" t="s">
        <v>94</v>
      </c>
      <c r="C467" s="2" t="s">
        <v>984</v>
      </c>
      <c r="D467" s="92" t="s">
        <v>985</v>
      </c>
      <c r="E467" s="87"/>
      <c r="F467" s="2" t="s">
        <v>223</v>
      </c>
      <c r="G467" s="35">
        <v>5.07</v>
      </c>
      <c r="H467" s="61">
        <v>0</v>
      </c>
      <c r="I467" s="35">
        <f>ROUND(G467*H467,2)</f>
        <v>0</v>
      </c>
      <c r="K467" s="51"/>
      <c r="Z467" s="35">
        <f>ROUND(IF(AQ467="5",BJ467,0),2)</f>
        <v>0</v>
      </c>
      <c r="AB467" s="35">
        <f>ROUND(IF(AQ467="1",BH467,0),2)</f>
        <v>0</v>
      </c>
      <c r="AC467" s="35">
        <f>ROUND(IF(AQ467="1",BI467,0),2)</f>
        <v>0</v>
      </c>
      <c r="AD467" s="35">
        <f>ROUND(IF(AQ467="7",BH467,0),2)</f>
        <v>0</v>
      </c>
      <c r="AE467" s="35">
        <f>ROUND(IF(AQ467="7",BI467,0),2)</f>
        <v>0</v>
      </c>
      <c r="AF467" s="35">
        <f>ROUND(IF(AQ467="2",BH467,0),2)</f>
        <v>0</v>
      </c>
      <c r="AG467" s="35">
        <f>ROUND(IF(AQ467="2",BI467,0),2)</f>
        <v>0</v>
      </c>
      <c r="AH467" s="35">
        <f>ROUND(IF(AQ467="0",BJ467,0),2)</f>
        <v>0</v>
      </c>
      <c r="AI467" s="46" t="s">
        <v>94</v>
      </c>
      <c r="AJ467" s="35">
        <f>IF(AN467=0,I467,0)</f>
        <v>0</v>
      </c>
      <c r="AK467" s="35">
        <f>IF(AN467=12,I467,0)</f>
        <v>0</v>
      </c>
      <c r="AL467" s="35">
        <f>IF(AN467=21,I467,0)</f>
        <v>0</v>
      </c>
      <c r="AN467" s="35">
        <v>21</v>
      </c>
      <c r="AO467" s="35">
        <f>H467*0</f>
        <v>0</v>
      </c>
      <c r="AP467" s="35">
        <f>H467*(1-0)</f>
        <v>0</v>
      </c>
      <c r="AQ467" s="62" t="s">
        <v>127</v>
      </c>
      <c r="AV467" s="35">
        <f>ROUND(AW467+AX467,2)</f>
        <v>0</v>
      </c>
      <c r="AW467" s="35">
        <f>ROUND(G467*AO467,2)</f>
        <v>0</v>
      </c>
      <c r="AX467" s="35">
        <f>ROUND(G467*AP467,2)</f>
        <v>0</v>
      </c>
      <c r="AY467" s="62" t="s">
        <v>632</v>
      </c>
      <c r="AZ467" s="62" t="s">
        <v>867</v>
      </c>
      <c r="BA467" s="46" t="s">
        <v>868</v>
      </c>
      <c r="BC467" s="35">
        <f>AW467+AX467</f>
        <v>0</v>
      </c>
      <c r="BD467" s="35">
        <f>H467/(100-BE467)*100</f>
        <v>0</v>
      </c>
      <c r="BE467" s="35">
        <v>0</v>
      </c>
      <c r="BF467" s="35">
        <f>467</f>
        <v>467</v>
      </c>
      <c r="BH467" s="35">
        <f>G467*AO467</f>
        <v>0</v>
      </c>
      <c r="BI467" s="35">
        <f>G467*AP467</f>
        <v>0</v>
      </c>
      <c r="BJ467" s="35">
        <f>G467*H467</f>
        <v>0</v>
      </c>
      <c r="BK467" s="62" t="s">
        <v>135</v>
      </c>
      <c r="BL467" s="35">
        <v>13</v>
      </c>
      <c r="BW467" s="35">
        <v>21</v>
      </c>
      <c r="BX467" s="3" t="s">
        <v>985</v>
      </c>
    </row>
    <row r="468" spans="1:76">
      <c r="A468" s="1" t="s">
        <v>986</v>
      </c>
      <c r="B468" s="2" t="s">
        <v>94</v>
      </c>
      <c r="C468" s="2" t="s">
        <v>987</v>
      </c>
      <c r="D468" s="92" t="s">
        <v>988</v>
      </c>
      <c r="E468" s="87"/>
      <c r="F468" s="2" t="s">
        <v>206</v>
      </c>
      <c r="G468" s="35">
        <v>5.9359999999999999</v>
      </c>
      <c r="H468" s="61">
        <v>0</v>
      </c>
      <c r="I468" s="35">
        <f>ROUND(G468*H468,2)</f>
        <v>0</v>
      </c>
      <c r="K468" s="51"/>
      <c r="Z468" s="35">
        <f>ROUND(IF(AQ468="5",BJ468,0),2)</f>
        <v>0</v>
      </c>
      <c r="AB468" s="35">
        <f>ROUND(IF(AQ468="1",BH468,0),2)</f>
        <v>0</v>
      </c>
      <c r="AC468" s="35">
        <f>ROUND(IF(AQ468="1",BI468,0),2)</f>
        <v>0</v>
      </c>
      <c r="AD468" s="35">
        <f>ROUND(IF(AQ468="7",BH468,0),2)</f>
        <v>0</v>
      </c>
      <c r="AE468" s="35">
        <f>ROUND(IF(AQ468="7",BI468,0),2)</f>
        <v>0</v>
      </c>
      <c r="AF468" s="35">
        <f>ROUND(IF(AQ468="2",BH468,0),2)</f>
        <v>0</v>
      </c>
      <c r="AG468" s="35">
        <f>ROUND(IF(AQ468="2",BI468,0),2)</f>
        <v>0</v>
      </c>
      <c r="AH468" s="35">
        <f>ROUND(IF(AQ468="0",BJ468,0),2)</f>
        <v>0</v>
      </c>
      <c r="AI468" s="46" t="s">
        <v>94</v>
      </c>
      <c r="AJ468" s="35">
        <f>IF(AN468=0,I468,0)</f>
        <v>0</v>
      </c>
      <c r="AK468" s="35">
        <f>IF(AN468=12,I468,0)</f>
        <v>0</v>
      </c>
      <c r="AL468" s="35">
        <f>IF(AN468=21,I468,0)</f>
        <v>0</v>
      </c>
      <c r="AN468" s="35">
        <v>21</v>
      </c>
      <c r="AO468" s="35">
        <f>H468*1</f>
        <v>0</v>
      </c>
      <c r="AP468" s="35">
        <f>H468*(1-1)</f>
        <v>0</v>
      </c>
      <c r="AQ468" s="62" t="s">
        <v>127</v>
      </c>
      <c r="AV468" s="35">
        <f>ROUND(AW468+AX468,2)</f>
        <v>0</v>
      </c>
      <c r="AW468" s="35">
        <f>ROUND(G468*AO468,2)</f>
        <v>0</v>
      </c>
      <c r="AX468" s="35">
        <f>ROUND(G468*AP468,2)</f>
        <v>0</v>
      </c>
      <c r="AY468" s="62" t="s">
        <v>632</v>
      </c>
      <c r="AZ468" s="62" t="s">
        <v>867</v>
      </c>
      <c r="BA468" s="46" t="s">
        <v>868</v>
      </c>
      <c r="BC468" s="35">
        <f>AW468+AX468</f>
        <v>0</v>
      </c>
      <c r="BD468" s="35">
        <f>H468/(100-BE468)*100</f>
        <v>0</v>
      </c>
      <c r="BE468" s="35">
        <v>0</v>
      </c>
      <c r="BF468" s="35">
        <f>468</f>
        <v>468</v>
      </c>
      <c r="BH468" s="35">
        <f>G468*AO468</f>
        <v>0</v>
      </c>
      <c r="BI468" s="35">
        <f>G468*AP468</f>
        <v>0</v>
      </c>
      <c r="BJ468" s="35">
        <f>G468*H468</f>
        <v>0</v>
      </c>
      <c r="BK468" s="62" t="s">
        <v>277</v>
      </c>
      <c r="BL468" s="35">
        <v>13</v>
      </c>
      <c r="BW468" s="35">
        <v>21</v>
      </c>
      <c r="BX468" s="3" t="s">
        <v>988</v>
      </c>
    </row>
    <row r="469" spans="1:76">
      <c r="A469" s="68"/>
      <c r="D469" s="69" t="s">
        <v>989</v>
      </c>
      <c r="E469" s="70" t="s">
        <v>4</v>
      </c>
      <c r="G469" s="71">
        <v>5.9362700000000004</v>
      </c>
      <c r="K469" s="51"/>
    </row>
    <row r="470" spans="1:76">
      <c r="A470" s="57" t="s">
        <v>4</v>
      </c>
      <c r="B470" s="58" t="s">
        <v>94</v>
      </c>
      <c r="C470" s="58" t="s">
        <v>310</v>
      </c>
      <c r="D470" s="174" t="s">
        <v>990</v>
      </c>
      <c r="E470" s="175"/>
      <c r="F470" s="59" t="s">
        <v>79</v>
      </c>
      <c r="G470" s="59" t="s">
        <v>79</v>
      </c>
      <c r="H470" s="60" t="s">
        <v>79</v>
      </c>
      <c r="I470" s="40">
        <f>SUM(I471:I471)</f>
        <v>0</v>
      </c>
      <c r="K470" s="51"/>
      <c r="AI470" s="46" t="s">
        <v>94</v>
      </c>
      <c r="AS470" s="40">
        <f>SUM(AJ471:AJ471)</f>
        <v>0</v>
      </c>
      <c r="AT470" s="40">
        <f>SUM(AK471:AK471)</f>
        <v>0</v>
      </c>
      <c r="AU470" s="40">
        <f>SUM(AL471:AL471)</f>
        <v>0</v>
      </c>
    </row>
    <row r="471" spans="1:76">
      <c r="A471" s="1" t="s">
        <v>991</v>
      </c>
      <c r="B471" s="2" t="s">
        <v>94</v>
      </c>
      <c r="C471" s="2" t="s">
        <v>992</v>
      </c>
      <c r="D471" s="92" t="s">
        <v>993</v>
      </c>
      <c r="E471" s="87"/>
      <c r="F471" s="2" t="s">
        <v>223</v>
      </c>
      <c r="G471" s="35">
        <v>1.407</v>
      </c>
      <c r="H471" s="61">
        <v>0</v>
      </c>
      <c r="I471" s="35">
        <f>ROUND(G471*H471,2)</f>
        <v>0</v>
      </c>
      <c r="K471" s="51"/>
      <c r="Z471" s="35">
        <f>ROUND(IF(AQ471="5",BJ471,0),2)</f>
        <v>0</v>
      </c>
      <c r="AB471" s="35">
        <f>ROUND(IF(AQ471="1",BH471,0),2)</f>
        <v>0</v>
      </c>
      <c r="AC471" s="35">
        <f>ROUND(IF(AQ471="1",BI471,0),2)</f>
        <v>0</v>
      </c>
      <c r="AD471" s="35">
        <f>ROUND(IF(AQ471="7",BH471,0),2)</f>
        <v>0</v>
      </c>
      <c r="AE471" s="35">
        <f>ROUND(IF(AQ471="7",BI471,0),2)</f>
        <v>0</v>
      </c>
      <c r="AF471" s="35">
        <f>ROUND(IF(AQ471="2",BH471,0),2)</f>
        <v>0</v>
      </c>
      <c r="AG471" s="35">
        <f>ROUND(IF(AQ471="2",BI471,0),2)</f>
        <v>0</v>
      </c>
      <c r="AH471" s="35">
        <f>ROUND(IF(AQ471="0",BJ471,0),2)</f>
        <v>0</v>
      </c>
      <c r="AI471" s="46" t="s">
        <v>94</v>
      </c>
      <c r="AJ471" s="35">
        <f>IF(AN471=0,I471,0)</f>
        <v>0</v>
      </c>
      <c r="AK471" s="35">
        <f>IF(AN471=12,I471,0)</f>
        <v>0</v>
      </c>
      <c r="AL471" s="35">
        <f>IF(AN471=21,I471,0)</f>
        <v>0</v>
      </c>
      <c r="AN471" s="35">
        <v>21</v>
      </c>
      <c r="AO471" s="35">
        <f>H471*0</f>
        <v>0</v>
      </c>
      <c r="AP471" s="35">
        <f>H471*(1-0)</f>
        <v>0</v>
      </c>
      <c r="AQ471" s="62" t="s">
        <v>127</v>
      </c>
      <c r="AV471" s="35">
        <f>ROUND(AW471+AX471,2)</f>
        <v>0</v>
      </c>
      <c r="AW471" s="35">
        <f>ROUND(G471*AO471,2)</f>
        <v>0</v>
      </c>
      <c r="AX471" s="35">
        <f>ROUND(G471*AP471,2)</f>
        <v>0</v>
      </c>
      <c r="AY471" s="62" t="s">
        <v>994</v>
      </c>
      <c r="AZ471" s="62" t="s">
        <v>995</v>
      </c>
      <c r="BA471" s="46" t="s">
        <v>868</v>
      </c>
      <c r="BC471" s="35">
        <f>AW471+AX471</f>
        <v>0</v>
      </c>
      <c r="BD471" s="35">
        <f>H471/(100-BE471)*100</f>
        <v>0</v>
      </c>
      <c r="BE471" s="35">
        <v>0</v>
      </c>
      <c r="BF471" s="35">
        <f>471</f>
        <v>471</v>
      </c>
      <c r="BH471" s="35">
        <f>G471*AO471</f>
        <v>0</v>
      </c>
      <c r="BI471" s="35">
        <f>G471*AP471</f>
        <v>0</v>
      </c>
      <c r="BJ471" s="35">
        <f>G471*H471</f>
        <v>0</v>
      </c>
      <c r="BK471" s="62" t="s">
        <v>135</v>
      </c>
      <c r="BL471" s="35">
        <v>45</v>
      </c>
      <c r="BW471" s="35">
        <v>21</v>
      </c>
      <c r="BX471" s="3" t="s">
        <v>993</v>
      </c>
    </row>
    <row r="472" spans="1:76">
      <c r="A472" s="68"/>
      <c r="D472" s="69" t="s">
        <v>996</v>
      </c>
      <c r="E472" s="70" t="s">
        <v>4</v>
      </c>
      <c r="G472" s="71">
        <v>0.627</v>
      </c>
      <c r="K472" s="51"/>
    </row>
    <row r="473" spans="1:76">
      <c r="A473" s="68"/>
      <c r="D473" s="69" t="s">
        <v>997</v>
      </c>
      <c r="E473" s="70" t="s">
        <v>4</v>
      </c>
      <c r="G473" s="71">
        <v>0.78</v>
      </c>
      <c r="K473" s="51"/>
    </row>
    <row r="474" spans="1:76">
      <c r="A474" s="57" t="s">
        <v>4</v>
      </c>
      <c r="B474" s="58" t="s">
        <v>94</v>
      </c>
      <c r="C474" s="58" t="s">
        <v>145</v>
      </c>
      <c r="D474" s="174" t="s">
        <v>309</v>
      </c>
      <c r="E474" s="175"/>
      <c r="F474" s="59" t="s">
        <v>79</v>
      </c>
      <c r="G474" s="59" t="s">
        <v>79</v>
      </c>
      <c r="H474" s="60" t="s">
        <v>79</v>
      </c>
      <c r="I474" s="40">
        <f>SUM(I475:I489)</f>
        <v>0</v>
      </c>
      <c r="K474" s="51"/>
      <c r="AI474" s="46" t="s">
        <v>94</v>
      </c>
      <c r="AS474" s="40">
        <f>SUM(AJ475:AJ489)</f>
        <v>0</v>
      </c>
      <c r="AT474" s="40">
        <f>SUM(AK475:AK489)</f>
        <v>0</v>
      </c>
      <c r="AU474" s="40">
        <f>SUM(AL475:AL489)</f>
        <v>0</v>
      </c>
    </row>
    <row r="475" spans="1:76" ht="25.5">
      <c r="A475" s="1" t="s">
        <v>998</v>
      </c>
      <c r="B475" s="2" t="s">
        <v>94</v>
      </c>
      <c r="C475" s="2" t="s">
        <v>999</v>
      </c>
      <c r="D475" s="92" t="s">
        <v>1000</v>
      </c>
      <c r="E475" s="87"/>
      <c r="F475" s="2" t="s">
        <v>192</v>
      </c>
      <c r="G475" s="35">
        <v>4</v>
      </c>
      <c r="H475" s="61">
        <v>0</v>
      </c>
      <c r="I475" s="35">
        <f>ROUND(G475*H475,2)</f>
        <v>0</v>
      </c>
      <c r="K475" s="51"/>
      <c r="Z475" s="35">
        <f>ROUND(IF(AQ475="5",BJ475,0),2)</f>
        <v>0</v>
      </c>
      <c r="AB475" s="35">
        <f>ROUND(IF(AQ475="1",BH475,0),2)</f>
        <v>0</v>
      </c>
      <c r="AC475" s="35">
        <f>ROUND(IF(AQ475="1",BI475,0),2)</f>
        <v>0</v>
      </c>
      <c r="AD475" s="35">
        <f>ROUND(IF(AQ475="7",BH475,0),2)</f>
        <v>0</v>
      </c>
      <c r="AE475" s="35">
        <f>ROUND(IF(AQ475="7",BI475,0),2)</f>
        <v>0</v>
      </c>
      <c r="AF475" s="35">
        <f>ROUND(IF(AQ475="2",BH475,0),2)</f>
        <v>0</v>
      </c>
      <c r="AG475" s="35">
        <f>ROUND(IF(AQ475="2",BI475,0),2)</f>
        <v>0</v>
      </c>
      <c r="AH475" s="35">
        <f>ROUND(IF(AQ475="0",BJ475,0),2)</f>
        <v>0</v>
      </c>
      <c r="AI475" s="46" t="s">
        <v>94</v>
      </c>
      <c r="AJ475" s="35">
        <f>IF(AN475=0,I475,0)</f>
        <v>0</v>
      </c>
      <c r="AK475" s="35">
        <f>IF(AN475=12,I475,0)</f>
        <v>0</v>
      </c>
      <c r="AL475" s="35">
        <f>IF(AN475=21,I475,0)</f>
        <v>0</v>
      </c>
      <c r="AN475" s="35">
        <v>21</v>
      </c>
      <c r="AO475" s="35">
        <f>H475*0</f>
        <v>0</v>
      </c>
      <c r="AP475" s="35">
        <f>H475*(1-0)</f>
        <v>0</v>
      </c>
      <c r="AQ475" s="62" t="s">
        <v>127</v>
      </c>
      <c r="AV475" s="35">
        <f>ROUND(AW475+AX475,2)</f>
        <v>0</v>
      </c>
      <c r="AW475" s="35">
        <f>ROUND(G475*AO475,2)</f>
        <v>0</v>
      </c>
      <c r="AX475" s="35">
        <f>ROUND(G475*AP475,2)</f>
        <v>0</v>
      </c>
      <c r="AY475" s="62" t="s">
        <v>313</v>
      </c>
      <c r="AZ475" s="62" t="s">
        <v>1001</v>
      </c>
      <c r="BA475" s="46" t="s">
        <v>868</v>
      </c>
      <c r="BC475" s="35">
        <f>AW475+AX475</f>
        <v>0</v>
      </c>
      <c r="BD475" s="35">
        <f>H475/(100-BE475)*100</f>
        <v>0</v>
      </c>
      <c r="BE475" s="35">
        <v>0</v>
      </c>
      <c r="BF475" s="35">
        <f>475</f>
        <v>475</v>
      </c>
      <c r="BH475" s="35">
        <f>G475*AO475</f>
        <v>0</v>
      </c>
      <c r="BI475" s="35">
        <f>G475*AP475</f>
        <v>0</v>
      </c>
      <c r="BJ475" s="35">
        <f>G475*H475</f>
        <v>0</v>
      </c>
      <c r="BK475" s="62" t="s">
        <v>135</v>
      </c>
      <c r="BL475" s="35">
        <v>5</v>
      </c>
      <c r="BW475" s="35">
        <v>21</v>
      </c>
      <c r="BX475" s="3" t="s">
        <v>1000</v>
      </c>
    </row>
    <row r="476" spans="1:76" ht="25.5">
      <c r="A476" s="1" t="s">
        <v>1002</v>
      </c>
      <c r="B476" s="2" t="s">
        <v>94</v>
      </c>
      <c r="C476" s="2" t="s">
        <v>1003</v>
      </c>
      <c r="D476" s="92" t="s">
        <v>1004</v>
      </c>
      <c r="E476" s="87"/>
      <c r="F476" s="2" t="s">
        <v>192</v>
      </c>
      <c r="G476" s="35">
        <v>4</v>
      </c>
      <c r="H476" s="61">
        <v>0</v>
      </c>
      <c r="I476" s="35">
        <f>ROUND(G476*H476,2)</f>
        <v>0</v>
      </c>
      <c r="K476" s="51"/>
      <c r="Z476" s="35">
        <f>ROUND(IF(AQ476="5",BJ476,0),2)</f>
        <v>0</v>
      </c>
      <c r="AB476" s="35">
        <f>ROUND(IF(AQ476="1",BH476,0),2)</f>
        <v>0</v>
      </c>
      <c r="AC476" s="35">
        <f>ROUND(IF(AQ476="1",BI476,0),2)</f>
        <v>0</v>
      </c>
      <c r="AD476" s="35">
        <f>ROUND(IF(AQ476="7",BH476,0),2)</f>
        <v>0</v>
      </c>
      <c r="AE476" s="35">
        <f>ROUND(IF(AQ476="7",BI476,0),2)</f>
        <v>0</v>
      </c>
      <c r="AF476" s="35">
        <f>ROUND(IF(AQ476="2",BH476,0),2)</f>
        <v>0</v>
      </c>
      <c r="AG476" s="35">
        <f>ROUND(IF(AQ476="2",BI476,0),2)</f>
        <v>0</v>
      </c>
      <c r="AH476" s="35">
        <f>ROUND(IF(AQ476="0",BJ476,0),2)</f>
        <v>0</v>
      </c>
      <c r="AI476" s="46" t="s">
        <v>94</v>
      </c>
      <c r="AJ476" s="35">
        <f>IF(AN476=0,I476,0)</f>
        <v>0</v>
      </c>
      <c r="AK476" s="35">
        <f>IF(AN476=12,I476,0)</f>
        <v>0</v>
      </c>
      <c r="AL476" s="35">
        <f>IF(AN476=21,I476,0)</f>
        <v>0</v>
      </c>
      <c r="AN476" s="35">
        <v>21</v>
      </c>
      <c r="AO476" s="35">
        <f>H476*0</f>
        <v>0</v>
      </c>
      <c r="AP476" s="35">
        <f>H476*(1-0)</f>
        <v>0</v>
      </c>
      <c r="AQ476" s="62" t="s">
        <v>127</v>
      </c>
      <c r="AV476" s="35">
        <f>ROUND(AW476+AX476,2)</f>
        <v>0</v>
      </c>
      <c r="AW476" s="35">
        <f>ROUND(G476*AO476,2)</f>
        <v>0</v>
      </c>
      <c r="AX476" s="35">
        <f>ROUND(G476*AP476,2)</f>
        <v>0</v>
      </c>
      <c r="AY476" s="62" t="s">
        <v>313</v>
      </c>
      <c r="AZ476" s="62" t="s">
        <v>1001</v>
      </c>
      <c r="BA476" s="46" t="s">
        <v>868</v>
      </c>
      <c r="BC476" s="35">
        <f>AW476+AX476</f>
        <v>0</v>
      </c>
      <c r="BD476" s="35">
        <f>H476/(100-BE476)*100</f>
        <v>0</v>
      </c>
      <c r="BE476" s="35">
        <v>0</v>
      </c>
      <c r="BF476" s="35">
        <f>476</f>
        <v>476</v>
      </c>
      <c r="BH476" s="35">
        <f>G476*AO476</f>
        <v>0</v>
      </c>
      <c r="BI476" s="35">
        <f>G476*AP476</f>
        <v>0</v>
      </c>
      <c r="BJ476" s="35">
        <f>G476*H476</f>
        <v>0</v>
      </c>
      <c r="BK476" s="62" t="s">
        <v>135</v>
      </c>
      <c r="BL476" s="35">
        <v>5</v>
      </c>
      <c r="BW476" s="35">
        <v>21</v>
      </c>
      <c r="BX476" s="3" t="s">
        <v>1004</v>
      </c>
    </row>
    <row r="477" spans="1:76" ht="13.5" customHeight="1">
      <c r="A477" s="68"/>
      <c r="C477" s="72" t="s">
        <v>337</v>
      </c>
      <c r="D477" s="178" t="s">
        <v>1005</v>
      </c>
      <c r="E477" s="179"/>
      <c r="F477" s="179"/>
      <c r="G477" s="179"/>
      <c r="H477" s="180"/>
      <c r="I477" s="179"/>
      <c r="J477" s="179"/>
      <c r="K477" s="181"/>
    </row>
    <row r="478" spans="1:76">
      <c r="A478" s="1" t="s">
        <v>1006</v>
      </c>
      <c r="B478" s="2" t="s">
        <v>94</v>
      </c>
      <c r="C478" s="2" t="s">
        <v>1007</v>
      </c>
      <c r="D478" s="92" t="s">
        <v>1008</v>
      </c>
      <c r="E478" s="87"/>
      <c r="F478" s="2" t="s">
        <v>192</v>
      </c>
      <c r="G478" s="35">
        <v>4</v>
      </c>
      <c r="H478" s="61">
        <v>0</v>
      </c>
      <c r="I478" s="35">
        <f>ROUND(G478*H478,2)</f>
        <v>0</v>
      </c>
      <c r="K478" s="51"/>
      <c r="Z478" s="35">
        <f>ROUND(IF(AQ478="5",BJ478,0),2)</f>
        <v>0</v>
      </c>
      <c r="AB478" s="35">
        <f>ROUND(IF(AQ478="1",BH478,0),2)</f>
        <v>0</v>
      </c>
      <c r="AC478" s="35">
        <f>ROUND(IF(AQ478="1",BI478,0),2)</f>
        <v>0</v>
      </c>
      <c r="AD478" s="35">
        <f>ROUND(IF(AQ478="7",BH478,0),2)</f>
        <v>0</v>
      </c>
      <c r="AE478" s="35">
        <f>ROUND(IF(AQ478="7",BI478,0),2)</f>
        <v>0</v>
      </c>
      <c r="AF478" s="35">
        <f>ROUND(IF(AQ478="2",BH478,0),2)</f>
        <v>0</v>
      </c>
      <c r="AG478" s="35">
        <f>ROUND(IF(AQ478="2",BI478,0),2)</f>
        <v>0</v>
      </c>
      <c r="AH478" s="35">
        <f>ROUND(IF(AQ478="0",BJ478,0),2)</f>
        <v>0</v>
      </c>
      <c r="AI478" s="46" t="s">
        <v>94</v>
      </c>
      <c r="AJ478" s="35">
        <f>IF(AN478=0,I478,0)</f>
        <v>0</v>
      </c>
      <c r="AK478" s="35">
        <f>IF(AN478=12,I478,0)</f>
        <v>0</v>
      </c>
      <c r="AL478" s="35">
        <f>IF(AN478=21,I478,0)</f>
        <v>0</v>
      </c>
      <c r="AN478" s="35">
        <v>21</v>
      </c>
      <c r="AO478" s="35">
        <f>H478*0</f>
        <v>0</v>
      </c>
      <c r="AP478" s="35">
        <f>H478*(1-0)</f>
        <v>0</v>
      </c>
      <c r="AQ478" s="62" t="s">
        <v>127</v>
      </c>
      <c r="AV478" s="35">
        <f>ROUND(AW478+AX478,2)</f>
        <v>0</v>
      </c>
      <c r="AW478" s="35">
        <f>ROUND(G478*AO478,2)</f>
        <v>0</v>
      </c>
      <c r="AX478" s="35">
        <f>ROUND(G478*AP478,2)</f>
        <v>0</v>
      </c>
      <c r="AY478" s="62" t="s">
        <v>313</v>
      </c>
      <c r="AZ478" s="62" t="s">
        <v>1001</v>
      </c>
      <c r="BA478" s="46" t="s">
        <v>868</v>
      </c>
      <c r="BC478" s="35">
        <f>AW478+AX478</f>
        <v>0</v>
      </c>
      <c r="BD478" s="35">
        <f>H478/(100-BE478)*100</f>
        <v>0</v>
      </c>
      <c r="BE478" s="35">
        <v>0</v>
      </c>
      <c r="BF478" s="35">
        <f>478</f>
        <v>478</v>
      </c>
      <c r="BH478" s="35">
        <f>G478*AO478</f>
        <v>0</v>
      </c>
      <c r="BI478" s="35">
        <f>G478*AP478</f>
        <v>0</v>
      </c>
      <c r="BJ478" s="35">
        <f>G478*H478</f>
        <v>0</v>
      </c>
      <c r="BK478" s="62" t="s">
        <v>135</v>
      </c>
      <c r="BL478" s="35">
        <v>5</v>
      </c>
      <c r="BW478" s="35">
        <v>21</v>
      </c>
      <c r="BX478" s="3" t="s">
        <v>1008</v>
      </c>
    </row>
    <row r="479" spans="1:76" ht="13.5" customHeight="1">
      <c r="A479" s="68"/>
      <c r="C479" s="72" t="s">
        <v>337</v>
      </c>
      <c r="D479" s="178" t="s">
        <v>1009</v>
      </c>
      <c r="E479" s="179"/>
      <c r="F479" s="179"/>
      <c r="G479" s="179"/>
      <c r="H479" s="180"/>
      <c r="I479" s="179"/>
      <c r="J479" s="179"/>
      <c r="K479" s="181"/>
    </row>
    <row r="480" spans="1:76">
      <c r="A480" s="1" t="s">
        <v>1010</v>
      </c>
      <c r="B480" s="2" t="s">
        <v>94</v>
      </c>
      <c r="C480" s="2" t="s">
        <v>1011</v>
      </c>
      <c r="D480" s="92" t="s">
        <v>1012</v>
      </c>
      <c r="E480" s="87"/>
      <c r="F480" s="2" t="s">
        <v>192</v>
      </c>
      <c r="G480" s="35">
        <v>7.5</v>
      </c>
      <c r="H480" s="61">
        <v>0</v>
      </c>
      <c r="I480" s="35">
        <f>ROUND(G480*H480,2)</f>
        <v>0</v>
      </c>
      <c r="K480" s="51"/>
      <c r="Z480" s="35">
        <f>ROUND(IF(AQ480="5",BJ480,0),2)</f>
        <v>0</v>
      </c>
      <c r="AB480" s="35">
        <f>ROUND(IF(AQ480="1",BH480,0),2)</f>
        <v>0</v>
      </c>
      <c r="AC480" s="35">
        <f>ROUND(IF(AQ480="1",BI480,0),2)</f>
        <v>0</v>
      </c>
      <c r="AD480" s="35">
        <f>ROUND(IF(AQ480="7",BH480,0),2)</f>
        <v>0</v>
      </c>
      <c r="AE480" s="35">
        <f>ROUND(IF(AQ480="7",BI480,0),2)</f>
        <v>0</v>
      </c>
      <c r="AF480" s="35">
        <f>ROUND(IF(AQ480="2",BH480,0),2)</f>
        <v>0</v>
      </c>
      <c r="AG480" s="35">
        <f>ROUND(IF(AQ480="2",BI480,0),2)</f>
        <v>0</v>
      </c>
      <c r="AH480" s="35">
        <f>ROUND(IF(AQ480="0",BJ480,0),2)</f>
        <v>0</v>
      </c>
      <c r="AI480" s="46" t="s">
        <v>94</v>
      </c>
      <c r="AJ480" s="35">
        <f>IF(AN480=0,I480,0)</f>
        <v>0</v>
      </c>
      <c r="AK480" s="35">
        <f>IF(AN480=12,I480,0)</f>
        <v>0</v>
      </c>
      <c r="AL480" s="35">
        <f>IF(AN480=21,I480,0)</f>
        <v>0</v>
      </c>
      <c r="AN480" s="35">
        <v>21</v>
      </c>
      <c r="AO480" s="35">
        <f>H480*0</f>
        <v>0</v>
      </c>
      <c r="AP480" s="35">
        <f>H480*(1-0)</f>
        <v>0</v>
      </c>
      <c r="AQ480" s="62" t="s">
        <v>127</v>
      </c>
      <c r="AV480" s="35">
        <f>ROUND(AW480+AX480,2)</f>
        <v>0</v>
      </c>
      <c r="AW480" s="35">
        <f>ROUND(G480*AO480,2)</f>
        <v>0</v>
      </c>
      <c r="AX480" s="35">
        <f>ROUND(G480*AP480,2)</f>
        <v>0</v>
      </c>
      <c r="AY480" s="62" t="s">
        <v>313</v>
      </c>
      <c r="AZ480" s="62" t="s">
        <v>1001</v>
      </c>
      <c r="BA480" s="46" t="s">
        <v>868</v>
      </c>
      <c r="BC480" s="35">
        <f>AW480+AX480</f>
        <v>0</v>
      </c>
      <c r="BD480" s="35">
        <f>H480/(100-BE480)*100</f>
        <v>0</v>
      </c>
      <c r="BE480" s="35">
        <v>0</v>
      </c>
      <c r="BF480" s="35">
        <f>480</f>
        <v>480</v>
      </c>
      <c r="BH480" s="35">
        <f>G480*AO480</f>
        <v>0</v>
      </c>
      <c r="BI480" s="35">
        <f>G480*AP480</f>
        <v>0</v>
      </c>
      <c r="BJ480" s="35">
        <f>G480*H480</f>
        <v>0</v>
      </c>
      <c r="BK480" s="62" t="s">
        <v>135</v>
      </c>
      <c r="BL480" s="35">
        <v>5</v>
      </c>
      <c r="BW480" s="35">
        <v>21</v>
      </c>
      <c r="BX480" s="3" t="s">
        <v>1012</v>
      </c>
    </row>
    <row r="481" spans="1:76" ht="13.5" customHeight="1">
      <c r="A481" s="68"/>
      <c r="C481" s="72" t="s">
        <v>337</v>
      </c>
      <c r="D481" s="178" t="s">
        <v>1013</v>
      </c>
      <c r="E481" s="179"/>
      <c r="F481" s="179"/>
      <c r="G481" s="179"/>
      <c r="H481" s="180"/>
      <c r="I481" s="179"/>
      <c r="J481" s="179"/>
      <c r="K481" s="181"/>
    </row>
    <row r="482" spans="1:76">
      <c r="A482" s="1" t="s">
        <v>1014</v>
      </c>
      <c r="B482" s="2" t="s">
        <v>94</v>
      </c>
      <c r="C482" s="2" t="s">
        <v>1015</v>
      </c>
      <c r="D482" s="92" t="s">
        <v>1016</v>
      </c>
      <c r="E482" s="87"/>
      <c r="F482" s="2" t="s">
        <v>192</v>
      </c>
      <c r="G482" s="35">
        <v>4</v>
      </c>
      <c r="H482" s="61">
        <v>0</v>
      </c>
      <c r="I482" s="35">
        <f>ROUND(G482*H482,2)</f>
        <v>0</v>
      </c>
      <c r="K482" s="51"/>
      <c r="Z482" s="35">
        <f>ROUND(IF(AQ482="5",BJ482,0),2)</f>
        <v>0</v>
      </c>
      <c r="AB482" s="35">
        <f>ROUND(IF(AQ482="1",BH482,0),2)</f>
        <v>0</v>
      </c>
      <c r="AC482" s="35">
        <f>ROUND(IF(AQ482="1",BI482,0),2)</f>
        <v>0</v>
      </c>
      <c r="AD482" s="35">
        <f>ROUND(IF(AQ482="7",BH482,0),2)</f>
        <v>0</v>
      </c>
      <c r="AE482" s="35">
        <f>ROUND(IF(AQ482="7",BI482,0),2)</f>
        <v>0</v>
      </c>
      <c r="AF482" s="35">
        <f>ROUND(IF(AQ482="2",BH482,0),2)</f>
        <v>0</v>
      </c>
      <c r="AG482" s="35">
        <f>ROUND(IF(AQ482="2",BI482,0),2)</f>
        <v>0</v>
      </c>
      <c r="AH482" s="35">
        <f>ROUND(IF(AQ482="0",BJ482,0),2)</f>
        <v>0</v>
      </c>
      <c r="AI482" s="46" t="s">
        <v>94</v>
      </c>
      <c r="AJ482" s="35">
        <f>IF(AN482=0,I482,0)</f>
        <v>0</v>
      </c>
      <c r="AK482" s="35">
        <f>IF(AN482=12,I482,0)</f>
        <v>0</v>
      </c>
      <c r="AL482" s="35">
        <f>IF(AN482=21,I482,0)</f>
        <v>0</v>
      </c>
      <c r="AN482" s="35">
        <v>21</v>
      </c>
      <c r="AO482" s="35">
        <f>H482*0</f>
        <v>0</v>
      </c>
      <c r="AP482" s="35">
        <f>H482*(1-0)</f>
        <v>0</v>
      </c>
      <c r="AQ482" s="62" t="s">
        <v>127</v>
      </c>
      <c r="AV482" s="35">
        <f>ROUND(AW482+AX482,2)</f>
        <v>0</v>
      </c>
      <c r="AW482" s="35">
        <f>ROUND(G482*AO482,2)</f>
        <v>0</v>
      </c>
      <c r="AX482" s="35">
        <f>ROUND(G482*AP482,2)</f>
        <v>0</v>
      </c>
      <c r="AY482" s="62" t="s">
        <v>313</v>
      </c>
      <c r="AZ482" s="62" t="s">
        <v>1001</v>
      </c>
      <c r="BA482" s="46" t="s">
        <v>868</v>
      </c>
      <c r="BC482" s="35">
        <f>AW482+AX482</f>
        <v>0</v>
      </c>
      <c r="BD482" s="35">
        <f>H482/(100-BE482)*100</f>
        <v>0</v>
      </c>
      <c r="BE482" s="35">
        <v>0</v>
      </c>
      <c r="BF482" s="35">
        <f>482</f>
        <v>482</v>
      </c>
      <c r="BH482" s="35">
        <f>G482*AO482</f>
        <v>0</v>
      </c>
      <c r="BI482" s="35">
        <f>G482*AP482</f>
        <v>0</v>
      </c>
      <c r="BJ482" s="35">
        <f>G482*H482</f>
        <v>0</v>
      </c>
      <c r="BK482" s="62" t="s">
        <v>135</v>
      </c>
      <c r="BL482" s="35">
        <v>5</v>
      </c>
      <c r="BW482" s="35">
        <v>21</v>
      </c>
      <c r="BX482" s="3" t="s">
        <v>1016</v>
      </c>
    </row>
    <row r="483" spans="1:76" ht="25.5">
      <c r="A483" s="1" t="s">
        <v>1017</v>
      </c>
      <c r="B483" s="2" t="s">
        <v>94</v>
      </c>
      <c r="C483" s="2" t="s">
        <v>1018</v>
      </c>
      <c r="D483" s="92" t="s">
        <v>1019</v>
      </c>
      <c r="E483" s="87"/>
      <c r="F483" s="2" t="s">
        <v>192</v>
      </c>
      <c r="G483" s="35">
        <v>8</v>
      </c>
      <c r="H483" s="61">
        <v>0</v>
      </c>
      <c r="I483" s="35">
        <f>ROUND(G483*H483,2)</f>
        <v>0</v>
      </c>
      <c r="K483" s="51"/>
      <c r="Z483" s="35">
        <f>ROUND(IF(AQ483="5",BJ483,0),2)</f>
        <v>0</v>
      </c>
      <c r="AB483" s="35">
        <f>ROUND(IF(AQ483="1",BH483,0),2)</f>
        <v>0</v>
      </c>
      <c r="AC483" s="35">
        <f>ROUND(IF(AQ483="1",BI483,0),2)</f>
        <v>0</v>
      </c>
      <c r="AD483" s="35">
        <f>ROUND(IF(AQ483="7",BH483,0),2)</f>
        <v>0</v>
      </c>
      <c r="AE483" s="35">
        <f>ROUND(IF(AQ483="7",BI483,0),2)</f>
        <v>0</v>
      </c>
      <c r="AF483" s="35">
        <f>ROUND(IF(AQ483="2",BH483,0),2)</f>
        <v>0</v>
      </c>
      <c r="AG483" s="35">
        <f>ROUND(IF(AQ483="2",BI483,0),2)</f>
        <v>0</v>
      </c>
      <c r="AH483" s="35">
        <f>ROUND(IF(AQ483="0",BJ483,0),2)</f>
        <v>0</v>
      </c>
      <c r="AI483" s="46" t="s">
        <v>94</v>
      </c>
      <c r="AJ483" s="35">
        <f>IF(AN483=0,I483,0)</f>
        <v>0</v>
      </c>
      <c r="AK483" s="35">
        <f>IF(AN483=12,I483,0)</f>
        <v>0</v>
      </c>
      <c r="AL483" s="35">
        <f>IF(AN483=21,I483,0)</f>
        <v>0</v>
      </c>
      <c r="AN483" s="35">
        <v>21</v>
      </c>
      <c r="AO483" s="35">
        <f>H483*0</f>
        <v>0</v>
      </c>
      <c r="AP483" s="35">
        <f>H483*(1-0)</f>
        <v>0</v>
      </c>
      <c r="AQ483" s="62" t="s">
        <v>127</v>
      </c>
      <c r="AV483" s="35">
        <f>ROUND(AW483+AX483,2)</f>
        <v>0</v>
      </c>
      <c r="AW483" s="35">
        <f>ROUND(G483*AO483,2)</f>
        <v>0</v>
      </c>
      <c r="AX483" s="35">
        <f>ROUND(G483*AP483,2)</f>
        <v>0</v>
      </c>
      <c r="AY483" s="62" t="s">
        <v>313</v>
      </c>
      <c r="AZ483" s="62" t="s">
        <v>1001</v>
      </c>
      <c r="BA483" s="46" t="s">
        <v>868</v>
      </c>
      <c r="BC483" s="35">
        <f>AW483+AX483</f>
        <v>0</v>
      </c>
      <c r="BD483" s="35">
        <f>H483/(100-BE483)*100</f>
        <v>0</v>
      </c>
      <c r="BE483" s="35">
        <v>0</v>
      </c>
      <c r="BF483" s="35">
        <f>483</f>
        <v>483</v>
      </c>
      <c r="BH483" s="35">
        <f>G483*AO483</f>
        <v>0</v>
      </c>
      <c r="BI483" s="35">
        <f>G483*AP483</f>
        <v>0</v>
      </c>
      <c r="BJ483" s="35">
        <f>G483*H483</f>
        <v>0</v>
      </c>
      <c r="BK483" s="62" t="s">
        <v>135</v>
      </c>
      <c r="BL483" s="35">
        <v>5</v>
      </c>
      <c r="BW483" s="35">
        <v>21</v>
      </c>
      <c r="BX483" s="3" t="s">
        <v>1019</v>
      </c>
    </row>
    <row r="484" spans="1:76">
      <c r="A484" s="68"/>
      <c r="D484" s="69" t="s">
        <v>1020</v>
      </c>
      <c r="E484" s="70" t="s">
        <v>4</v>
      </c>
      <c r="G484" s="71">
        <v>8</v>
      </c>
      <c r="K484" s="51"/>
    </row>
    <row r="485" spans="1:76" ht="25.5">
      <c r="A485" s="1" t="s">
        <v>1021</v>
      </c>
      <c r="B485" s="2" t="s">
        <v>94</v>
      </c>
      <c r="C485" s="2" t="s">
        <v>1022</v>
      </c>
      <c r="D485" s="92" t="s">
        <v>1023</v>
      </c>
      <c r="E485" s="87"/>
      <c r="F485" s="2" t="s">
        <v>192</v>
      </c>
      <c r="G485" s="35">
        <v>4</v>
      </c>
      <c r="H485" s="61">
        <v>0</v>
      </c>
      <c r="I485" s="35">
        <f>ROUND(G485*H485,2)</f>
        <v>0</v>
      </c>
      <c r="K485" s="51"/>
      <c r="Z485" s="35">
        <f>ROUND(IF(AQ485="5",BJ485,0),2)</f>
        <v>0</v>
      </c>
      <c r="AB485" s="35">
        <f>ROUND(IF(AQ485="1",BH485,0),2)</f>
        <v>0</v>
      </c>
      <c r="AC485" s="35">
        <f>ROUND(IF(AQ485="1",BI485,0),2)</f>
        <v>0</v>
      </c>
      <c r="AD485" s="35">
        <f>ROUND(IF(AQ485="7",BH485,0),2)</f>
        <v>0</v>
      </c>
      <c r="AE485" s="35">
        <f>ROUND(IF(AQ485="7",BI485,0),2)</f>
        <v>0</v>
      </c>
      <c r="AF485" s="35">
        <f>ROUND(IF(AQ485="2",BH485,0),2)</f>
        <v>0</v>
      </c>
      <c r="AG485" s="35">
        <f>ROUND(IF(AQ485="2",BI485,0),2)</f>
        <v>0</v>
      </c>
      <c r="AH485" s="35">
        <f>ROUND(IF(AQ485="0",BJ485,0),2)</f>
        <v>0</v>
      </c>
      <c r="AI485" s="46" t="s">
        <v>94</v>
      </c>
      <c r="AJ485" s="35">
        <f>IF(AN485=0,I485,0)</f>
        <v>0</v>
      </c>
      <c r="AK485" s="35">
        <f>IF(AN485=12,I485,0)</f>
        <v>0</v>
      </c>
      <c r="AL485" s="35">
        <f>IF(AN485=21,I485,0)</f>
        <v>0</v>
      </c>
      <c r="AN485" s="35">
        <v>21</v>
      </c>
      <c r="AO485" s="35">
        <f>H485*0</f>
        <v>0</v>
      </c>
      <c r="AP485" s="35">
        <f>H485*(1-0)</f>
        <v>0</v>
      </c>
      <c r="AQ485" s="62" t="s">
        <v>127</v>
      </c>
      <c r="AV485" s="35">
        <f>ROUND(AW485+AX485,2)</f>
        <v>0</v>
      </c>
      <c r="AW485" s="35">
        <f>ROUND(G485*AO485,2)</f>
        <v>0</v>
      </c>
      <c r="AX485" s="35">
        <f>ROUND(G485*AP485,2)</f>
        <v>0</v>
      </c>
      <c r="AY485" s="62" t="s">
        <v>313</v>
      </c>
      <c r="AZ485" s="62" t="s">
        <v>1001</v>
      </c>
      <c r="BA485" s="46" t="s">
        <v>868</v>
      </c>
      <c r="BC485" s="35">
        <f>AW485+AX485</f>
        <v>0</v>
      </c>
      <c r="BD485" s="35">
        <f>H485/(100-BE485)*100</f>
        <v>0</v>
      </c>
      <c r="BE485" s="35">
        <v>0</v>
      </c>
      <c r="BF485" s="35">
        <f>485</f>
        <v>485</v>
      </c>
      <c r="BH485" s="35">
        <f>G485*AO485</f>
        <v>0</v>
      </c>
      <c r="BI485" s="35">
        <f>G485*AP485</f>
        <v>0</v>
      </c>
      <c r="BJ485" s="35">
        <f>G485*H485</f>
        <v>0</v>
      </c>
      <c r="BK485" s="62" t="s">
        <v>135</v>
      </c>
      <c r="BL485" s="35">
        <v>5</v>
      </c>
      <c r="BW485" s="35">
        <v>21</v>
      </c>
      <c r="BX485" s="3" t="s">
        <v>1023</v>
      </c>
    </row>
    <row r="486" spans="1:76" ht="25.5">
      <c r="A486" s="1" t="s">
        <v>1024</v>
      </c>
      <c r="B486" s="2" t="s">
        <v>94</v>
      </c>
      <c r="C486" s="2" t="s">
        <v>1025</v>
      </c>
      <c r="D486" s="92" t="s">
        <v>1026</v>
      </c>
      <c r="E486" s="87"/>
      <c r="F486" s="2" t="s">
        <v>192</v>
      </c>
      <c r="G486" s="35">
        <v>4</v>
      </c>
      <c r="H486" s="61">
        <v>0</v>
      </c>
      <c r="I486" s="35">
        <f>ROUND(G486*H486,2)</f>
        <v>0</v>
      </c>
      <c r="K486" s="51"/>
      <c r="Z486" s="35">
        <f>ROUND(IF(AQ486="5",BJ486,0),2)</f>
        <v>0</v>
      </c>
      <c r="AB486" s="35">
        <f>ROUND(IF(AQ486="1",BH486,0),2)</f>
        <v>0</v>
      </c>
      <c r="AC486" s="35">
        <f>ROUND(IF(AQ486="1",BI486,0),2)</f>
        <v>0</v>
      </c>
      <c r="AD486" s="35">
        <f>ROUND(IF(AQ486="7",BH486,0),2)</f>
        <v>0</v>
      </c>
      <c r="AE486" s="35">
        <f>ROUND(IF(AQ486="7",BI486,0),2)</f>
        <v>0</v>
      </c>
      <c r="AF486" s="35">
        <f>ROUND(IF(AQ486="2",BH486,0),2)</f>
        <v>0</v>
      </c>
      <c r="AG486" s="35">
        <f>ROUND(IF(AQ486="2",BI486,0),2)</f>
        <v>0</v>
      </c>
      <c r="AH486" s="35">
        <f>ROUND(IF(AQ486="0",BJ486,0),2)</f>
        <v>0</v>
      </c>
      <c r="AI486" s="46" t="s">
        <v>94</v>
      </c>
      <c r="AJ486" s="35">
        <f>IF(AN486=0,I486,0)</f>
        <v>0</v>
      </c>
      <c r="AK486" s="35">
        <f>IF(AN486=12,I486,0)</f>
        <v>0</v>
      </c>
      <c r="AL486" s="35">
        <f>IF(AN486=21,I486,0)</f>
        <v>0</v>
      </c>
      <c r="AN486" s="35">
        <v>21</v>
      </c>
      <c r="AO486" s="35">
        <f>H486*0</f>
        <v>0</v>
      </c>
      <c r="AP486" s="35">
        <f>H486*(1-0)</f>
        <v>0</v>
      </c>
      <c r="AQ486" s="62" t="s">
        <v>127</v>
      </c>
      <c r="AV486" s="35">
        <f>ROUND(AW486+AX486,2)</f>
        <v>0</v>
      </c>
      <c r="AW486" s="35">
        <f>ROUND(G486*AO486,2)</f>
        <v>0</v>
      </c>
      <c r="AX486" s="35">
        <f>ROUND(G486*AP486,2)</f>
        <v>0</v>
      </c>
      <c r="AY486" s="62" t="s">
        <v>313</v>
      </c>
      <c r="AZ486" s="62" t="s">
        <v>1001</v>
      </c>
      <c r="BA486" s="46" t="s">
        <v>868</v>
      </c>
      <c r="BC486" s="35">
        <f>AW486+AX486</f>
        <v>0</v>
      </c>
      <c r="BD486" s="35">
        <f>H486/(100-BE486)*100</f>
        <v>0</v>
      </c>
      <c r="BE486" s="35">
        <v>0</v>
      </c>
      <c r="BF486" s="35">
        <f>486</f>
        <v>486</v>
      </c>
      <c r="BH486" s="35">
        <f>G486*AO486</f>
        <v>0</v>
      </c>
      <c r="BI486" s="35">
        <f>G486*AP486</f>
        <v>0</v>
      </c>
      <c r="BJ486" s="35">
        <f>G486*H486</f>
        <v>0</v>
      </c>
      <c r="BK486" s="62" t="s">
        <v>135</v>
      </c>
      <c r="BL486" s="35">
        <v>5</v>
      </c>
      <c r="BW486" s="35">
        <v>21</v>
      </c>
      <c r="BX486" s="3" t="s">
        <v>1026</v>
      </c>
    </row>
    <row r="487" spans="1:76">
      <c r="A487" s="1" t="s">
        <v>1027</v>
      </c>
      <c r="B487" s="2" t="s">
        <v>94</v>
      </c>
      <c r="C487" s="2" t="s">
        <v>1028</v>
      </c>
      <c r="D487" s="92" t="s">
        <v>1029</v>
      </c>
      <c r="E487" s="87"/>
      <c r="F487" s="2" t="s">
        <v>282</v>
      </c>
      <c r="G487" s="35">
        <v>7.5</v>
      </c>
      <c r="H487" s="61">
        <v>0</v>
      </c>
      <c r="I487" s="35">
        <f>ROUND(G487*H487,2)</f>
        <v>0</v>
      </c>
      <c r="K487" s="51"/>
      <c r="Z487" s="35">
        <f>ROUND(IF(AQ487="5",BJ487,0),2)</f>
        <v>0</v>
      </c>
      <c r="AB487" s="35">
        <f>ROUND(IF(AQ487="1",BH487,0),2)</f>
        <v>0</v>
      </c>
      <c r="AC487" s="35">
        <f>ROUND(IF(AQ487="1",BI487,0),2)</f>
        <v>0</v>
      </c>
      <c r="AD487" s="35">
        <f>ROUND(IF(AQ487="7",BH487,0),2)</f>
        <v>0</v>
      </c>
      <c r="AE487" s="35">
        <f>ROUND(IF(AQ487="7",BI487,0),2)</f>
        <v>0</v>
      </c>
      <c r="AF487" s="35">
        <f>ROUND(IF(AQ487="2",BH487,0),2)</f>
        <v>0</v>
      </c>
      <c r="AG487" s="35">
        <f>ROUND(IF(AQ487="2",BI487,0),2)</f>
        <v>0</v>
      </c>
      <c r="AH487" s="35">
        <f>ROUND(IF(AQ487="0",BJ487,0),2)</f>
        <v>0</v>
      </c>
      <c r="AI487" s="46" t="s">
        <v>94</v>
      </c>
      <c r="AJ487" s="35">
        <f>IF(AN487=0,I487,0)</f>
        <v>0</v>
      </c>
      <c r="AK487" s="35">
        <f>IF(AN487=12,I487,0)</f>
        <v>0</v>
      </c>
      <c r="AL487" s="35">
        <f>IF(AN487=21,I487,0)</f>
        <v>0</v>
      </c>
      <c r="AN487" s="35">
        <v>21</v>
      </c>
      <c r="AO487" s="35">
        <f>H487*0</f>
        <v>0</v>
      </c>
      <c r="AP487" s="35">
        <f>H487*(1-0)</f>
        <v>0</v>
      </c>
      <c r="AQ487" s="62" t="s">
        <v>127</v>
      </c>
      <c r="AV487" s="35">
        <f>ROUND(AW487+AX487,2)</f>
        <v>0</v>
      </c>
      <c r="AW487" s="35">
        <f>ROUND(G487*AO487,2)</f>
        <v>0</v>
      </c>
      <c r="AX487" s="35">
        <f>ROUND(G487*AP487,2)</f>
        <v>0</v>
      </c>
      <c r="AY487" s="62" t="s">
        <v>313</v>
      </c>
      <c r="AZ487" s="62" t="s">
        <v>1001</v>
      </c>
      <c r="BA487" s="46" t="s">
        <v>868</v>
      </c>
      <c r="BC487" s="35">
        <f>AW487+AX487</f>
        <v>0</v>
      </c>
      <c r="BD487" s="35">
        <f>H487/(100-BE487)*100</f>
        <v>0</v>
      </c>
      <c r="BE487" s="35">
        <v>0</v>
      </c>
      <c r="BF487" s="35">
        <f>487</f>
        <v>487</v>
      </c>
      <c r="BH487" s="35">
        <f>G487*AO487</f>
        <v>0</v>
      </c>
      <c r="BI487" s="35">
        <f>G487*AP487</f>
        <v>0</v>
      </c>
      <c r="BJ487" s="35">
        <f>G487*H487</f>
        <v>0</v>
      </c>
      <c r="BK487" s="62" t="s">
        <v>135</v>
      </c>
      <c r="BL487" s="35">
        <v>5</v>
      </c>
      <c r="BW487" s="35">
        <v>21</v>
      </c>
      <c r="BX487" s="3" t="s">
        <v>1029</v>
      </c>
    </row>
    <row r="488" spans="1:76" ht="27" customHeight="1">
      <c r="A488" s="68"/>
      <c r="C488" s="72" t="s">
        <v>337</v>
      </c>
      <c r="D488" s="178" t="s">
        <v>1030</v>
      </c>
      <c r="E488" s="179"/>
      <c r="F488" s="179"/>
      <c r="G488" s="179"/>
      <c r="H488" s="180"/>
      <c r="I488" s="179"/>
      <c r="J488" s="179"/>
      <c r="K488" s="181"/>
    </row>
    <row r="489" spans="1:76" ht="25.5">
      <c r="A489" s="1" t="s">
        <v>1031</v>
      </c>
      <c r="B489" s="2" t="s">
        <v>94</v>
      </c>
      <c r="C489" s="2" t="s">
        <v>1032</v>
      </c>
      <c r="D489" s="92" t="s">
        <v>1033</v>
      </c>
      <c r="E489" s="87"/>
      <c r="F489" s="2" t="s">
        <v>192</v>
      </c>
      <c r="G489" s="35">
        <v>7.5</v>
      </c>
      <c r="H489" s="61">
        <v>0</v>
      </c>
      <c r="I489" s="35">
        <f>ROUND(G489*H489,2)</f>
        <v>0</v>
      </c>
      <c r="K489" s="51"/>
      <c r="Z489" s="35">
        <f>ROUND(IF(AQ489="5",BJ489,0),2)</f>
        <v>0</v>
      </c>
      <c r="AB489" s="35">
        <f>ROUND(IF(AQ489="1",BH489,0),2)</f>
        <v>0</v>
      </c>
      <c r="AC489" s="35">
        <f>ROUND(IF(AQ489="1",BI489,0),2)</f>
        <v>0</v>
      </c>
      <c r="AD489" s="35">
        <f>ROUND(IF(AQ489="7",BH489,0),2)</f>
        <v>0</v>
      </c>
      <c r="AE489" s="35">
        <f>ROUND(IF(AQ489="7",BI489,0),2)</f>
        <v>0</v>
      </c>
      <c r="AF489" s="35">
        <f>ROUND(IF(AQ489="2",BH489,0),2)</f>
        <v>0</v>
      </c>
      <c r="AG489" s="35">
        <f>ROUND(IF(AQ489="2",BI489,0),2)</f>
        <v>0</v>
      </c>
      <c r="AH489" s="35">
        <f>ROUND(IF(AQ489="0",BJ489,0),2)</f>
        <v>0</v>
      </c>
      <c r="AI489" s="46" t="s">
        <v>94</v>
      </c>
      <c r="AJ489" s="35">
        <f>IF(AN489=0,I489,0)</f>
        <v>0</v>
      </c>
      <c r="AK489" s="35">
        <f>IF(AN489=12,I489,0)</f>
        <v>0</v>
      </c>
      <c r="AL489" s="35">
        <f>IF(AN489=21,I489,0)</f>
        <v>0</v>
      </c>
      <c r="AN489" s="35">
        <v>21</v>
      </c>
      <c r="AO489" s="35">
        <f>H489*1</f>
        <v>0</v>
      </c>
      <c r="AP489" s="35">
        <f>H489*(1-1)</f>
        <v>0</v>
      </c>
      <c r="AQ489" s="62" t="s">
        <v>127</v>
      </c>
      <c r="AV489" s="35">
        <f>ROUND(AW489+AX489,2)</f>
        <v>0</v>
      </c>
      <c r="AW489" s="35">
        <f>ROUND(G489*AO489,2)</f>
        <v>0</v>
      </c>
      <c r="AX489" s="35">
        <f>ROUND(G489*AP489,2)</f>
        <v>0</v>
      </c>
      <c r="AY489" s="62" t="s">
        <v>313</v>
      </c>
      <c r="AZ489" s="62" t="s">
        <v>1001</v>
      </c>
      <c r="BA489" s="46" t="s">
        <v>868</v>
      </c>
      <c r="BC489" s="35">
        <f>AW489+AX489</f>
        <v>0</v>
      </c>
      <c r="BD489" s="35">
        <f>H489/(100-BE489)*100</f>
        <v>0</v>
      </c>
      <c r="BE489" s="35">
        <v>0</v>
      </c>
      <c r="BF489" s="35">
        <f>489</f>
        <v>489</v>
      </c>
      <c r="BH489" s="35">
        <f>G489*AO489</f>
        <v>0</v>
      </c>
      <c r="BI489" s="35">
        <f>G489*AP489</f>
        <v>0</v>
      </c>
      <c r="BJ489" s="35">
        <f>G489*H489</f>
        <v>0</v>
      </c>
      <c r="BK489" s="62" t="s">
        <v>277</v>
      </c>
      <c r="BL489" s="35">
        <v>5</v>
      </c>
      <c r="BW489" s="35">
        <v>21</v>
      </c>
      <c r="BX489" s="3" t="s">
        <v>1033</v>
      </c>
    </row>
    <row r="490" spans="1:76">
      <c r="A490" s="57" t="s">
        <v>4</v>
      </c>
      <c r="B490" s="58" t="s">
        <v>94</v>
      </c>
      <c r="C490" s="58" t="s">
        <v>154</v>
      </c>
      <c r="D490" s="174" t="s">
        <v>1034</v>
      </c>
      <c r="E490" s="175"/>
      <c r="F490" s="59" t="s">
        <v>79</v>
      </c>
      <c r="G490" s="59" t="s">
        <v>79</v>
      </c>
      <c r="H490" s="60" t="s">
        <v>79</v>
      </c>
      <c r="I490" s="40">
        <f>SUM(I491:I517)</f>
        <v>0</v>
      </c>
      <c r="K490" s="51"/>
      <c r="AI490" s="46" t="s">
        <v>94</v>
      </c>
      <c r="AS490" s="40">
        <f>SUM(AJ491:AJ517)</f>
        <v>0</v>
      </c>
      <c r="AT490" s="40">
        <f>SUM(AK491:AK517)</f>
        <v>0</v>
      </c>
      <c r="AU490" s="40">
        <f>SUM(AL491:AL517)</f>
        <v>0</v>
      </c>
    </row>
    <row r="491" spans="1:76">
      <c r="A491" s="1" t="s">
        <v>1035</v>
      </c>
      <c r="B491" s="2" t="s">
        <v>94</v>
      </c>
      <c r="C491" s="2" t="s">
        <v>1036</v>
      </c>
      <c r="D491" s="92" t="s">
        <v>1037</v>
      </c>
      <c r="E491" s="87"/>
      <c r="F491" s="2" t="s">
        <v>282</v>
      </c>
      <c r="G491" s="35">
        <v>6.5</v>
      </c>
      <c r="H491" s="61">
        <v>0</v>
      </c>
      <c r="I491" s="35">
        <f>ROUND(G491*H491,2)</f>
        <v>0</v>
      </c>
      <c r="K491" s="51"/>
      <c r="Z491" s="35">
        <f>ROUND(IF(AQ491="5",BJ491,0),2)</f>
        <v>0</v>
      </c>
      <c r="AB491" s="35">
        <f>ROUND(IF(AQ491="1",BH491,0),2)</f>
        <v>0</v>
      </c>
      <c r="AC491" s="35">
        <f>ROUND(IF(AQ491="1",BI491,0),2)</f>
        <v>0</v>
      </c>
      <c r="AD491" s="35">
        <f>ROUND(IF(AQ491="7",BH491,0),2)</f>
        <v>0</v>
      </c>
      <c r="AE491" s="35">
        <f>ROUND(IF(AQ491="7",BI491,0),2)</f>
        <v>0</v>
      </c>
      <c r="AF491" s="35">
        <f>ROUND(IF(AQ491="2",BH491,0),2)</f>
        <v>0</v>
      </c>
      <c r="AG491" s="35">
        <f>ROUND(IF(AQ491="2",BI491,0),2)</f>
        <v>0</v>
      </c>
      <c r="AH491" s="35">
        <f>ROUND(IF(AQ491="0",BJ491,0),2)</f>
        <v>0</v>
      </c>
      <c r="AI491" s="46" t="s">
        <v>94</v>
      </c>
      <c r="AJ491" s="35">
        <f>IF(AN491=0,I491,0)</f>
        <v>0</v>
      </c>
      <c r="AK491" s="35">
        <f>IF(AN491=12,I491,0)</f>
        <v>0</v>
      </c>
      <c r="AL491" s="35">
        <f>IF(AN491=21,I491,0)</f>
        <v>0</v>
      </c>
      <c r="AN491" s="35">
        <v>21</v>
      </c>
      <c r="AO491" s="35">
        <f>H491*0</f>
        <v>0</v>
      </c>
      <c r="AP491" s="35">
        <f>H491*(1-0)</f>
        <v>0</v>
      </c>
      <c r="AQ491" s="62" t="s">
        <v>127</v>
      </c>
      <c r="AV491" s="35">
        <f>ROUND(AW491+AX491,2)</f>
        <v>0</v>
      </c>
      <c r="AW491" s="35">
        <f>ROUND(G491*AO491,2)</f>
        <v>0</v>
      </c>
      <c r="AX491" s="35">
        <f>ROUND(G491*AP491,2)</f>
        <v>0</v>
      </c>
      <c r="AY491" s="62" t="s">
        <v>1038</v>
      </c>
      <c r="AZ491" s="62" t="s">
        <v>1039</v>
      </c>
      <c r="BA491" s="46" t="s">
        <v>868</v>
      </c>
      <c r="BC491" s="35">
        <f>AW491+AX491</f>
        <v>0</v>
      </c>
      <c r="BD491" s="35">
        <f>H491/(100-BE491)*100</f>
        <v>0</v>
      </c>
      <c r="BE491" s="35">
        <v>0</v>
      </c>
      <c r="BF491" s="35">
        <f>491</f>
        <v>491</v>
      </c>
      <c r="BH491" s="35">
        <f>G491*AO491</f>
        <v>0</v>
      </c>
      <c r="BI491" s="35">
        <f>G491*AP491</f>
        <v>0</v>
      </c>
      <c r="BJ491" s="35">
        <f>G491*H491</f>
        <v>0</v>
      </c>
      <c r="BK491" s="62" t="s">
        <v>135</v>
      </c>
      <c r="BL491" s="35">
        <v>8</v>
      </c>
      <c r="BW491" s="35">
        <v>21</v>
      </c>
      <c r="BX491" s="3" t="s">
        <v>1037</v>
      </c>
    </row>
    <row r="492" spans="1:76" ht="13.5" customHeight="1">
      <c r="A492" s="68"/>
      <c r="C492" s="72" t="s">
        <v>337</v>
      </c>
      <c r="D492" s="178" t="s">
        <v>1040</v>
      </c>
      <c r="E492" s="179"/>
      <c r="F492" s="179"/>
      <c r="G492" s="179"/>
      <c r="H492" s="180"/>
      <c r="I492" s="179"/>
      <c r="J492" s="179"/>
      <c r="K492" s="181"/>
    </row>
    <row r="493" spans="1:76" ht="25.5">
      <c r="A493" s="1" t="s">
        <v>1041</v>
      </c>
      <c r="B493" s="2" t="s">
        <v>94</v>
      </c>
      <c r="C493" s="2" t="s">
        <v>1042</v>
      </c>
      <c r="D493" s="92" t="s">
        <v>1043</v>
      </c>
      <c r="E493" s="87"/>
      <c r="F493" s="2" t="s">
        <v>321</v>
      </c>
      <c r="G493" s="35">
        <v>4</v>
      </c>
      <c r="H493" s="61">
        <v>0</v>
      </c>
      <c r="I493" s="35">
        <f>ROUND(G493*H493,2)</f>
        <v>0</v>
      </c>
      <c r="K493" s="51"/>
      <c r="Z493" s="35">
        <f>ROUND(IF(AQ493="5",BJ493,0),2)</f>
        <v>0</v>
      </c>
      <c r="AB493" s="35">
        <f>ROUND(IF(AQ493="1",BH493,0),2)</f>
        <v>0</v>
      </c>
      <c r="AC493" s="35">
        <f>ROUND(IF(AQ493="1",BI493,0),2)</f>
        <v>0</v>
      </c>
      <c r="AD493" s="35">
        <f>ROUND(IF(AQ493="7",BH493,0),2)</f>
        <v>0</v>
      </c>
      <c r="AE493" s="35">
        <f>ROUND(IF(AQ493="7",BI493,0),2)</f>
        <v>0</v>
      </c>
      <c r="AF493" s="35">
        <f>ROUND(IF(AQ493="2",BH493,0),2)</f>
        <v>0</v>
      </c>
      <c r="AG493" s="35">
        <f>ROUND(IF(AQ493="2",BI493,0),2)</f>
        <v>0</v>
      </c>
      <c r="AH493" s="35">
        <f>ROUND(IF(AQ493="0",BJ493,0),2)</f>
        <v>0</v>
      </c>
      <c r="AI493" s="46" t="s">
        <v>94</v>
      </c>
      <c r="AJ493" s="35">
        <f>IF(AN493=0,I493,0)</f>
        <v>0</v>
      </c>
      <c r="AK493" s="35">
        <f>IF(AN493=12,I493,0)</f>
        <v>0</v>
      </c>
      <c r="AL493" s="35">
        <f>IF(AN493=21,I493,0)</f>
        <v>0</v>
      </c>
      <c r="AN493" s="35">
        <v>21</v>
      </c>
      <c r="AO493" s="35">
        <f>H493*0</f>
        <v>0</v>
      </c>
      <c r="AP493" s="35">
        <f>H493*(1-0)</f>
        <v>0</v>
      </c>
      <c r="AQ493" s="62" t="s">
        <v>127</v>
      </c>
      <c r="AV493" s="35">
        <f>ROUND(AW493+AX493,2)</f>
        <v>0</v>
      </c>
      <c r="AW493" s="35">
        <f>ROUND(G493*AO493,2)</f>
        <v>0</v>
      </c>
      <c r="AX493" s="35">
        <f>ROUND(G493*AP493,2)</f>
        <v>0</v>
      </c>
      <c r="AY493" s="62" t="s">
        <v>1038</v>
      </c>
      <c r="AZ493" s="62" t="s">
        <v>1039</v>
      </c>
      <c r="BA493" s="46" t="s">
        <v>868</v>
      </c>
      <c r="BC493" s="35">
        <f>AW493+AX493</f>
        <v>0</v>
      </c>
      <c r="BD493" s="35">
        <f>H493/(100-BE493)*100</f>
        <v>0</v>
      </c>
      <c r="BE493" s="35">
        <v>0</v>
      </c>
      <c r="BF493" s="35">
        <f>493</f>
        <v>493</v>
      </c>
      <c r="BH493" s="35">
        <f>G493*AO493</f>
        <v>0</v>
      </c>
      <c r="BI493" s="35">
        <f>G493*AP493</f>
        <v>0</v>
      </c>
      <c r="BJ493" s="35">
        <f>G493*H493</f>
        <v>0</v>
      </c>
      <c r="BK493" s="62" t="s">
        <v>135</v>
      </c>
      <c r="BL493" s="35">
        <v>8</v>
      </c>
      <c r="BW493" s="35">
        <v>21</v>
      </c>
      <c r="BX493" s="3" t="s">
        <v>1043</v>
      </c>
    </row>
    <row r="494" spans="1:76" ht="13.5" customHeight="1">
      <c r="A494" s="68"/>
      <c r="C494" s="72" t="s">
        <v>337</v>
      </c>
      <c r="D494" s="178" t="s">
        <v>1044</v>
      </c>
      <c r="E494" s="179"/>
      <c r="F494" s="179"/>
      <c r="G494" s="179"/>
      <c r="H494" s="180"/>
      <c r="I494" s="179"/>
      <c r="J494" s="179"/>
      <c r="K494" s="181"/>
    </row>
    <row r="495" spans="1:76" ht="25.5">
      <c r="A495" s="1" t="s">
        <v>1045</v>
      </c>
      <c r="B495" s="2" t="s">
        <v>94</v>
      </c>
      <c r="C495" s="2" t="s">
        <v>1046</v>
      </c>
      <c r="D495" s="92" t="s">
        <v>1047</v>
      </c>
      <c r="E495" s="87"/>
      <c r="F495" s="2" t="s">
        <v>282</v>
      </c>
      <c r="G495" s="35">
        <v>6.5</v>
      </c>
      <c r="H495" s="61">
        <v>0</v>
      </c>
      <c r="I495" s="35">
        <f>ROUND(G495*H495,2)</f>
        <v>0</v>
      </c>
      <c r="K495" s="51"/>
      <c r="Z495" s="35">
        <f>ROUND(IF(AQ495="5",BJ495,0),2)</f>
        <v>0</v>
      </c>
      <c r="AB495" s="35">
        <f>ROUND(IF(AQ495="1",BH495,0),2)</f>
        <v>0</v>
      </c>
      <c r="AC495" s="35">
        <f>ROUND(IF(AQ495="1",BI495,0),2)</f>
        <v>0</v>
      </c>
      <c r="AD495" s="35">
        <f>ROUND(IF(AQ495="7",BH495,0),2)</f>
        <v>0</v>
      </c>
      <c r="AE495" s="35">
        <f>ROUND(IF(AQ495="7",BI495,0),2)</f>
        <v>0</v>
      </c>
      <c r="AF495" s="35">
        <f>ROUND(IF(AQ495="2",BH495,0),2)</f>
        <v>0</v>
      </c>
      <c r="AG495" s="35">
        <f>ROUND(IF(AQ495="2",BI495,0),2)</f>
        <v>0</v>
      </c>
      <c r="AH495" s="35">
        <f>ROUND(IF(AQ495="0",BJ495,0),2)</f>
        <v>0</v>
      </c>
      <c r="AI495" s="46" t="s">
        <v>94</v>
      </c>
      <c r="AJ495" s="35">
        <f>IF(AN495=0,I495,0)</f>
        <v>0</v>
      </c>
      <c r="AK495" s="35">
        <f>IF(AN495=12,I495,0)</f>
        <v>0</v>
      </c>
      <c r="AL495" s="35">
        <f>IF(AN495=21,I495,0)</f>
        <v>0</v>
      </c>
      <c r="AN495" s="35">
        <v>21</v>
      </c>
      <c r="AO495" s="35">
        <f>H495*0</f>
        <v>0</v>
      </c>
      <c r="AP495" s="35">
        <f>H495*(1-0)</f>
        <v>0</v>
      </c>
      <c r="AQ495" s="62" t="s">
        <v>127</v>
      </c>
      <c r="AV495" s="35">
        <f>ROUND(AW495+AX495,2)</f>
        <v>0</v>
      </c>
      <c r="AW495" s="35">
        <f>ROUND(G495*AO495,2)</f>
        <v>0</v>
      </c>
      <c r="AX495" s="35">
        <f>ROUND(G495*AP495,2)</f>
        <v>0</v>
      </c>
      <c r="AY495" s="62" t="s">
        <v>1038</v>
      </c>
      <c r="AZ495" s="62" t="s">
        <v>1039</v>
      </c>
      <c r="BA495" s="46" t="s">
        <v>868</v>
      </c>
      <c r="BC495" s="35">
        <f>AW495+AX495</f>
        <v>0</v>
      </c>
      <c r="BD495" s="35">
        <f>H495/(100-BE495)*100</f>
        <v>0</v>
      </c>
      <c r="BE495" s="35">
        <v>0</v>
      </c>
      <c r="BF495" s="35">
        <f>495</f>
        <v>495</v>
      </c>
      <c r="BH495" s="35">
        <f>G495*AO495</f>
        <v>0</v>
      </c>
      <c r="BI495" s="35">
        <f>G495*AP495</f>
        <v>0</v>
      </c>
      <c r="BJ495" s="35">
        <f>G495*H495</f>
        <v>0</v>
      </c>
      <c r="BK495" s="62" t="s">
        <v>135</v>
      </c>
      <c r="BL495" s="35">
        <v>8</v>
      </c>
      <c r="BW495" s="35">
        <v>21</v>
      </c>
      <c r="BX495" s="3" t="s">
        <v>1047</v>
      </c>
    </row>
    <row r="496" spans="1:76" ht="13.5" customHeight="1">
      <c r="A496" s="68"/>
      <c r="C496" s="72" t="s">
        <v>337</v>
      </c>
      <c r="D496" s="178" t="s">
        <v>1048</v>
      </c>
      <c r="E496" s="179"/>
      <c r="F496" s="179"/>
      <c r="G496" s="179"/>
      <c r="H496" s="180"/>
      <c r="I496" s="179"/>
      <c r="J496" s="179"/>
      <c r="K496" s="181"/>
    </row>
    <row r="497" spans="1:76">
      <c r="A497" s="1" t="s">
        <v>1049</v>
      </c>
      <c r="B497" s="2" t="s">
        <v>94</v>
      </c>
      <c r="C497" s="2" t="s">
        <v>1050</v>
      </c>
      <c r="D497" s="92" t="s">
        <v>1051</v>
      </c>
      <c r="E497" s="87"/>
      <c r="F497" s="2" t="s">
        <v>321</v>
      </c>
      <c r="G497" s="35">
        <v>3</v>
      </c>
      <c r="H497" s="61">
        <v>0</v>
      </c>
      <c r="I497" s="35">
        <f>ROUND(G497*H497,2)</f>
        <v>0</v>
      </c>
      <c r="K497" s="51"/>
      <c r="Z497" s="35">
        <f>ROUND(IF(AQ497="5",BJ497,0),2)</f>
        <v>0</v>
      </c>
      <c r="AB497" s="35">
        <f>ROUND(IF(AQ497="1",BH497,0),2)</f>
        <v>0</v>
      </c>
      <c r="AC497" s="35">
        <f>ROUND(IF(AQ497="1",BI497,0),2)</f>
        <v>0</v>
      </c>
      <c r="AD497" s="35">
        <f>ROUND(IF(AQ497="7",BH497,0),2)</f>
        <v>0</v>
      </c>
      <c r="AE497" s="35">
        <f>ROUND(IF(AQ497="7",BI497,0),2)</f>
        <v>0</v>
      </c>
      <c r="AF497" s="35">
        <f>ROUND(IF(AQ497="2",BH497,0),2)</f>
        <v>0</v>
      </c>
      <c r="AG497" s="35">
        <f>ROUND(IF(AQ497="2",BI497,0),2)</f>
        <v>0</v>
      </c>
      <c r="AH497" s="35">
        <f>ROUND(IF(AQ497="0",BJ497,0),2)</f>
        <v>0</v>
      </c>
      <c r="AI497" s="46" t="s">
        <v>94</v>
      </c>
      <c r="AJ497" s="35">
        <f>IF(AN497=0,I497,0)</f>
        <v>0</v>
      </c>
      <c r="AK497" s="35">
        <f>IF(AN497=12,I497,0)</f>
        <v>0</v>
      </c>
      <c r="AL497" s="35">
        <f>IF(AN497=21,I497,0)</f>
        <v>0</v>
      </c>
      <c r="AN497" s="35">
        <v>21</v>
      </c>
      <c r="AO497" s="35">
        <f>H497*0</f>
        <v>0</v>
      </c>
      <c r="AP497" s="35">
        <f>H497*(1-0)</f>
        <v>0</v>
      </c>
      <c r="AQ497" s="62" t="s">
        <v>127</v>
      </c>
      <c r="AV497" s="35">
        <f>ROUND(AW497+AX497,2)</f>
        <v>0</v>
      </c>
      <c r="AW497" s="35">
        <f>ROUND(G497*AO497,2)</f>
        <v>0</v>
      </c>
      <c r="AX497" s="35">
        <f>ROUND(G497*AP497,2)</f>
        <v>0</v>
      </c>
      <c r="AY497" s="62" t="s">
        <v>1038</v>
      </c>
      <c r="AZ497" s="62" t="s">
        <v>1039</v>
      </c>
      <c r="BA497" s="46" t="s">
        <v>868</v>
      </c>
      <c r="BC497" s="35">
        <f>AW497+AX497</f>
        <v>0</v>
      </c>
      <c r="BD497" s="35">
        <f>H497/(100-BE497)*100</f>
        <v>0</v>
      </c>
      <c r="BE497" s="35">
        <v>0</v>
      </c>
      <c r="BF497" s="35">
        <f>497</f>
        <v>497</v>
      </c>
      <c r="BH497" s="35">
        <f>G497*AO497</f>
        <v>0</v>
      </c>
      <c r="BI497" s="35">
        <f>G497*AP497</f>
        <v>0</v>
      </c>
      <c r="BJ497" s="35">
        <f>G497*H497</f>
        <v>0</v>
      </c>
      <c r="BK497" s="62" t="s">
        <v>135</v>
      </c>
      <c r="BL497" s="35">
        <v>8</v>
      </c>
      <c r="BW497" s="35">
        <v>21</v>
      </c>
      <c r="BX497" s="3" t="s">
        <v>1051</v>
      </c>
    </row>
    <row r="498" spans="1:76" ht="13.5" customHeight="1">
      <c r="A498" s="68"/>
      <c r="C498" s="72" t="s">
        <v>337</v>
      </c>
      <c r="D498" s="178" t="s">
        <v>1052</v>
      </c>
      <c r="E498" s="179"/>
      <c r="F498" s="179"/>
      <c r="G498" s="179"/>
      <c r="H498" s="180"/>
      <c r="I498" s="179"/>
      <c r="J498" s="179"/>
      <c r="K498" s="181"/>
    </row>
    <row r="499" spans="1:76">
      <c r="A499" s="1" t="s">
        <v>1053</v>
      </c>
      <c r="B499" s="2" t="s">
        <v>94</v>
      </c>
      <c r="C499" s="2" t="s">
        <v>1054</v>
      </c>
      <c r="D499" s="92" t="s">
        <v>1055</v>
      </c>
      <c r="E499" s="87"/>
      <c r="F499" s="2" t="s">
        <v>321</v>
      </c>
      <c r="G499" s="35">
        <v>2</v>
      </c>
      <c r="H499" s="61">
        <v>0</v>
      </c>
      <c r="I499" s="35">
        <f>ROUND(G499*H499,2)</f>
        <v>0</v>
      </c>
      <c r="K499" s="51"/>
      <c r="Z499" s="35">
        <f>ROUND(IF(AQ499="5",BJ499,0),2)</f>
        <v>0</v>
      </c>
      <c r="AB499" s="35">
        <f>ROUND(IF(AQ499="1",BH499,0),2)</f>
        <v>0</v>
      </c>
      <c r="AC499" s="35">
        <f>ROUND(IF(AQ499="1",BI499,0),2)</f>
        <v>0</v>
      </c>
      <c r="AD499" s="35">
        <f>ROUND(IF(AQ499="7",BH499,0),2)</f>
        <v>0</v>
      </c>
      <c r="AE499" s="35">
        <f>ROUND(IF(AQ499="7",BI499,0),2)</f>
        <v>0</v>
      </c>
      <c r="AF499" s="35">
        <f>ROUND(IF(AQ499="2",BH499,0),2)</f>
        <v>0</v>
      </c>
      <c r="AG499" s="35">
        <f>ROUND(IF(AQ499="2",BI499,0),2)</f>
        <v>0</v>
      </c>
      <c r="AH499" s="35">
        <f>ROUND(IF(AQ499="0",BJ499,0),2)</f>
        <v>0</v>
      </c>
      <c r="AI499" s="46" t="s">
        <v>94</v>
      </c>
      <c r="AJ499" s="35">
        <f>IF(AN499=0,I499,0)</f>
        <v>0</v>
      </c>
      <c r="AK499" s="35">
        <f>IF(AN499=12,I499,0)</f>
        <v>0</v>
      </c>
      <c r="AL499" s="35">
        <f>IF(AN499=21,I499,0)</f>
        <v>0</v>
      </c>
      <c r="AN499" s="35">
        <v>21</v>
      </c>
      <c r="AO499" s="35">
        <f>H499*0</f>
        <v>0</v>
      </c>
      <c r="AP499" s="35">
        <f>H499*(1-0)</f>
        <v>0</v>
      </c>
      <c r="AQ499" s="62" t="s">
        <v>127</v>
      </c>
      <c r="AV499" s="35">
        <f>ROUND(AW499+AX499,2)</f>
        <v>0</v>
      </c>
      <c r="AW499" s="35">
        <f>ROUND(G499*AO499,2)</f>
        <v>0</v>
      </c>
      <c r="AX499" s="35">
        <f>ROUND(G499*AP499,2)</f>
        <v>0</v>
      </c>
      <c r="AY499" s="62" t="s">
        <v>1038</v>
      </c>
      <c r="AZ499" s="62" t="s">
        <v>1039</v>
      </c>
      <c r="BA499" s="46" t="s">
        <v>868</v>
      </c>
      <c r="BC499" s="35">
        <f>AW499+AX499</f>
        <v>0</v>
      </c>
      <c r="BD499" s="35">
        <f>H499/(100-BE499)*100</f>
        <v>0</v>
      </c>
      <c r="BE499" s="35">
        <v>0</v>
      </c>
      <c r="BF499" s="35">
        <f>499</f>
        <v>499</v>
      </c>
      <c r="BH499" s="35">
        <f>G499*AO499</f>
        <v>0</v>
      </c>
      <c r="BI499" s="35">
        <f>G499*AP499</f>
        <v>0</v>
      </c>
      <c r="BJ499" s="35">
        <f>G499*H499</f>
        <v>0</v>
      </c>
      <c r="BK499" s="62" t="s">
        <v>135</v>
      </c>
      <c r="BL499" s="35">
        <v>8</v>
      </c>
      <c r="BW499" s="35">
        <v>21</v>
      </c>
      <c r="BX499" s="3" t="s">
        <v>1055</v>
      </c>
    </row>
    <row r="500" spans="1:76" ht="54" customHeight="1">
      <c r="A500" s="68"/>
      <c r="C500" s="72" t="s">
        <v>337</v>
      </c>
      <c r="D500" s="178" t="s">
        <v>1056</v>
      </c>
      <c r="E500" s="179"/>
      <c r="F500" s="179"/>
      <c r="G500" s="179"/>
      <c r="H500" s="180"/>
      <c r="I500" s="179"/>
      <c r="J500" s="179"/>
      <c r="K500" s="181"/>
    </row>
    <row r="501" spans="1:76">
      <c r="A501" s="1" t="s">
        <v>1057</v>
      </c>
      <c r="B501" s="2" t="s">
        <v>94</v>
      </c>
      <c r="C501" s="2" t="s">
        <v>1058</v>
      </c>
      <c r="D501" s="92" t="s">
        <v>1059</v>
      </c>
      <c r="E501" s="87"/>
      <c r="F501" s="2" t="s">
        <v>321</v>
      </c>
      <c r="G501" s="35">
        <v>3</v>
      </c>
      <c r="H501" s="61">
        <v>0</v>
      </c>
      <c r="I501" s="35">
        <f>ROUND(G501*H501,2)</f>
        <v>0</v>
      </c>
      <c r="K501" s="51"/>
      <c r="Z501" s="35">
        <f>ROUND(IF(AQ501="5",BJ501,0),2)</f>
        <v>0</v>
      </c>
      <c r="AB501" s="35">
        <f>ROUND(IF(AQ501="1",BH501,0),2)</f>
        <v>0</v>
      </c>
      <c r="AC501" s="35">
        <f>ROUND(IF(AQ501="1",BI501,0),2)</f>
        <v>0</v>
      </c>
      <c r="AD501" s="35">
        <f>ROUND(IF(AQ501="7",BH501,0),2)</f>
        <v>0</v>
      </c>
      <c r="AE501" s="35">
        <f>ROUND(IF(AQ501="7",BI501,0),2)</f>
        <v>0</v>
      </c>
      <c r="AF501" s="35">
        <f>ROUND(IF(AQ501="2",BH501,0),2)</f>
        <v>0</v>
      </c>
      <c r="AG501" s="35">
        <f>ROUND(IF(AQ501="2",BI501,0),2)</f>
        <v>0</v>
      </c>
      <c r="AH501" s="35">
        <f>ROUND(IF(AQ501="0",BJ501,0),2)</f>
        <v>0</v>
      </c>
      <c r="AI501" s="46" t="s">
        <v>94</v>
      </c>
      <c r="AJ501" s="35">
        <f>IF(AN501=0,I501,0)</f>
        <v>0</v>
      </c>
      <c r="AK501" s="35">
        <f>IF(AN501=12,I501,0)</f>
        <v>0</v>
      </c>
      <c r="AL501" s="35">
        <f>IF(AN501=21,I501,0)</f>
        <v>0</v>
      </c>
      <c r="AN501" s="35">
        <v>21</v>
      </c>
      <c r="AO501" s="35">
        <f>H501*0</f>
        <v>0</v>
      </c>
      <c r="AP501" s="35">
        <f>H501*(1-0)</f>
        <v>0</v>
      </c>
      <c r="AQ501" s="62" t="s">
        <v>127</v>
      </c>
      <c r="AV501" s="35">
        <f>ROUND(AW501+AX501,2)</f>
        <v>0</v>
      </c>
      <c r="AW501" s="35">
        <f>ROUND(G501*AO501,2)</f>
        <v>0</v>
      </c>
      <c r="AX501" s="35">
        <f>ROUND(G501*AP501,2)</f>
        <v>0</v>
      </c>
      <c r="AY501" s="62" t="s">
        <v>1038</v>
      </c>
      <c r="AZ501" s="62" t="s">
        <v>1039</v>
      </c>
      <c r="BA501" s="46" t="s">
        <v>868</v>
      </c>
      <c r="BC501" s="35">
        <f>AW501+AX501</f>
        <v>0</v>
      </c>
      <c r="BD501" s="35">
        <f>H501/(100-BE501)*100</f>
        <v>0</v>
      </c>
      <c r="BE501" s="35">
        <v>0</v>
      </c>
      <c r="BF501" s="35">
        <f>501</f>
        <v>501</v>
      </c>
      <c r="BH501" s="35">
        <f>G501*AO501</f>
        <v>0</v>
      </c>
      <c r="BI501" s="35">
        <f>G501*AP501</f>
        <v>0</v>
      </c>
      <c r="BJ501" s="35">
        <f>G501*H501</f>
        <v>0</v>
      </c>
      <c r="BK501" s="62" t="s">
        <v>135</v>
      </c>
      <c r="BL501" s="35">
        <v>8</v>
      </c>
      <c r="BW501" s="35">
        <v>21</v>
      </c>
      <c r="BX501" s="3" t="s">
        <v>1059</v>
      </c>
    </row>
    <row r="502" spans="1:76" ht="13.5" customHeight="1">
      <c r="A502" s="68"/>
      <c r="C502" s="72" t="s">
        <v>337</v>
      </c>
      <c r="D502" s="178" t="s">
        <v>1060</v>
      </c>
      <c r="E502" s="179"/>
      <c r="F502" s="179"/>
      <c r="G502" s="179"/>
      <c r="H502" s="180"/>
      <c r="I502" s="179"/>
      <c r="J502" s="179"/>
      <c r="K502" s="181"/>
    </row>
    <row r="503" spans="1:76">
      <c r="A503" s="1" t="s">
        <v>1061</v>
      </c>
      <c r="B503" s="2" t="s">
        <v>94</v>
      </c>
      <c r="C503" s="2" t="s">
        <v>1062</v>
      </c>
      <c r="D503" s="92" t="s">
        <v>1063</v>
      </c>
      <c r="E503" s="87"/>
      <c r="F503" s="2" t="s">
        <v>321</v>
      </c>
      <c r="G503" s="35">
        <v>1</v>
      </c>
      <c r="H503" s="61">
        <v>0</v>
      </c>
      <c r="I503" s="35">
        <f>ROUND(G503*H503,2)</f>
        <v>0</v>
      </c>
      <c r="K503" s="51"/>
      <c r="Z503" s="35">
        <f>ROUND(IF(AQ503="5",BJ503,0),2)</f>
        <v>0</v>
      </c>
      <c r="AB503" s="35">
        <f>ROUND(IF(AQ503="1",BH503,0),2)</f>
        <v>0</v>
      </c>
      <c r="AC503" s="35">
        <f>ROUND(IF(AQ503="1",BI503,0),2)</f>
        <v>0</v>
      </c>
      <c r="AD503" s="35">
        <f>ROUND(IF(AQ503="7",BH503,0),2)</f>
        <v>0</v>
      </c>
      <c r="AE503" s="35">
        <f>ROUND(IF(AQ503="7",BI503,0),2)</f>
        <v>0</v>
      </c>
      <c r="AF503" s="35">
        <f>ROUND(IF(AQ503="2",BH503,0),2)</f>
        <v>0</v>
      </c>
      <c r="AG503" s="35">
        <f>ROUND(IF(AQ503="2",BI503,0),2)</f>
        <v>0</v>
      </c>
      <c r="AH503" s="35">
        <f>ROUND(IF(AQ503="0",BJ503,0),2)</f>
        <v>0</v>
      </c>
      <c r="AI503" s="46" t="s">
        <v>94</v>
      </c>
      <c r="AJ503" s="35">
        <f>IF(AN503=0,I503,0)</f>
        <v>0</v>
      </c>
      <c r="AK503" s="35">
        <f>IF(AN503=12,I503,0)</f>
        <v>0</v>
      </c>
      <c r="AL503" s="35">
        <f>IF(AN503=21,I503,0)</f>
        <v>0</v>
      </c>
      <c r="AN503" s="35">
        <v>21</v>
      </c>
      <c r="AO503" s="35">
        <f>H503*0</f>
        <v>0</v>
      </c>
      <c r="AP503" s="35">
        <f>H503*(1-0)</f>
        <v>0</v>
      </c>
      <c r="AQ503" s="62" t="s">
        <v>127</v>
      </c>
      <c r="AV503" s="35">
        <f>ROUND(AW503+AX503,2)</f>
        <v>0</v>
      </c>
      <c r="AW503" s="35">
        <f>ROUND(G503*AO503,2)</f>
        <v>0</v>
      </c>
      <c r="AX503" s="35">
        <f>ROUND(G503*AP503,2)</f>
        <v>0</v>
      </c>
      <c r="AY503" s="62" t="s">
        <v>1038</v>
      </c>
      <c r="AZ503" s="62" t="s">
        <v>1039</v>
      </c>
      <c r="BA503" s="46" t="s">
        <v>868</v>
      </c>
      <c r="BC503" s="35">
        <f>AW503+AX503</f>
        <v>0</v>
      </c>
      <c r="BD503" s="35">
        <f>H503/(100-BE503)*100</f>
        <v>0</v>
      </c>
      <c r="BE503" s="35">
        <v>0</v>
      </c>
      <c r="BF503" s="35">
        <f>503</f>
        <v>503</v>
      </c>
      <c r="BH503" s="35">
        <f>G503*AO503</f>
        <v>0</v>
      </c>
      <c r="BI503" s="35">
        <f>G503*AP503</f>
        <v>0</v>
      </c>
      <c r="BJ503" s="35">
        <f>G503*H503</f>
        <v>0</v>
      </c>
      <c r="BK503" s="62" t="s">
        <v>135</v>
      </c>
      <c r="BL503" s="35">
        <v>8</v>
      </c>
      <c r="BW503" s="35">
        <v>21</v>
      </c>
      <c r="BX503" s="3" t="s">
        <v>1063</v>
      </c>
    </row>
    <row r="504" spans="1:76">
      <c r="A504" s="1" t="s">
        <v>1064</v>
      </c>
      <c r="B504" s="2" t="s">
        <v>94</v>
      </c>
      <c r="C504" s="2" t="s">
        <v>1065</v>
      </c>
      <c r="D504" s="92" t="s">
        <v>1066</v>
      </c>
      <c r="E504" s="87"/>
      <c r="F504" s="2" t="s">
        <v>321</v>
      </c>
      <c r="G504" s="35">
        <v>1</v>
      </c>
      <c r="H504" s="61">
        <v>0</v>
      </c>
      <c r="I504" s="35">
        <f>ROUND(G504*H504,2)</f>
        <v>0</v>
      </c>
      <c r="K504" s="51"/>
      <c r="Z504" s="35">
        <f>ROUND(IF(AQ504="5",BJ504,0),2)</f>
        <v>0</v>
      </c>
      <c r="AB504" s="35">
        <f>ROUND(IF(AQ504="1",BH504,0),2)</f>
        <v>0</v>
      </c>
      <c r="AC504" s="35">
        <f>ROUND(IF(AQ504="1",BI504,0),2)</f>
        <v>0</v>
      </c>
      <c r="AD504" s="35">
        <f>ROUND(IF(AQ504="7",BH504,0),2)</f>
        <v>0</v>
      </c>
      <c r="AE504" s="35">
        <f>ROUND(IF(AQ504="7",BI504,0),2)</f>
        <v>0</v>
      </c>
      <c r="AF504" s="35">
        <f>ROUND(IF(AQ504="2",BH504,0),2)</f>
        <v>0</v>
      </c>
      <c r="AG504" s="35">
        <f>ROUND(IF(AQ504="2",BI504,0),2)</f>
        <v>0</v>
      </c>
      <c r="AH504" s="35">
        <f>ROUND(IF(AQ504="0",BJ504,0),2)</f>
        <v>0</v>
      </c>
      <c r="AI504" s="46" t="s">
        <v>94</v>
      </c>
      <c r="AJ504" s="35">
        <f>IF(AN504=0,I504,0)</f>
        <v>0</v>
      </c>
      <c r="AK504" s="35">
        <f>IF(AN504=12,I504,0)</f>
        <v>0</v>
      </c>
      <c r="AL504" s="35">
        <f>IF(AN504=21,I504,0)</f>
        <v>0</v>
      </c>
      <c r="AN504" s="35">
        <v>21</v>
      </c>
      <c r="AO504" s="35">
        <f>H504*1</f>
        <v>0</v>
      </c>
      <c r="AP504" s="35">
        <f>H504*(1-1)</f>
        <v>0</v>
      </c>
      <c r="AQ504" s="62" t="s">
        <v>127</v>
      </c>
      <c r="AV504" s="35">
        <f>ROUND(AW504+AX504,2)</f>
        <v>0</v>
      </c>
      <c r="AW504" s="35">
        <f>ROUND(G504*AO504,2)</f>
        <v>0</v>
      </c>
      <c r="AX504" s="35">
        <f>ROUND(G504*AP504,2)</f>
        <v>0</v>
      </c>
      <c r="AY504" s="62" t="s">
        <v>1038</v>
      </c>
      <c r="AZ504" s="62" t="s">
        <v>1039</v>
      </c>
      <c r="BA504" s="46" t="s">
        <v>868</v>
      </c>
      <c r="BC504" s="35">
        <f>AW504+AX504</f>
        <v>0</v>
      </c>
      <c r="BD504" s="35">
        <f>H504/(100-BE504)*100</f>
        <v>0</v>
      </c>
      <c r="BE504" s="35">
        <v>0</v>
      </c>
      <c r="BF504" s="35">
        <f>504</f>
        <v>504</v>
      </c>
      <c r="BH504" s="35">
        <f>G504*AO504</f>
        <v>0</v>
      </c>
      <c r="BI504" s="35">
        <f>G504*AP504</f>
        <v>0</v>
      </c>
      <c r="BJ504" s="35">
        <f>G504*H504</f>
        <v>0</v>
      </c>
      <c r="BK504" s="62" t="s">
        <v>277</v>
      </c>
      <c r="BL504" s="35">
        <v>8</v>
      </c>
      <c r="BW504" s="35">
        <v>21</v>
      </c>
      <c r="BX504" s="3" t="s">
        <v>1066</v>
      </c>
    </row>
    <row r="505" spans="1:76">
      <c r="A505" s="1" t="s">
        <v>1067</v>
      </c>
      <c r="B505" s="2" t="s">
        <v>94</v>
      </c>
      <c r="C505" s="2" t="s">
        <v>1065</v>
      </c>
      <c r="D505" s="92" t="s">
        <v>1068</v>
      </c>
      <c r="E505" s="87"/>
      <c r="F505" s="2" t="s">
        <v>321</v>
      </c>
      <c r="G505" s="35">
        <v>1</v>
      </c>
      <c r="H505" s="61">
        <v>0</v>
      </c>
      <c r="I505" s="35">
        <f>ROUND(G505*H505,2)</f>
        <v>0</v>
      </c>
      <c r="K505" s="51"/>
      <c r="Z505" s="35">
        <f>ROUND(IF(AQ505="5",BJ505,0),2)</f>
        <v>0</v>
      </c>
      <c r="AB505" s="35">
        <f>ROUND(IF(AQ505="1",BH505,0),2)</f>
        <v>0</v>
      </c>
      <c r="AC505" s="35">
        <f>ROUND(IF(AQ505="1",BI505,0),2)</f>
        <v>0</v>
      </c>
      <c r="AD505" s="35">
        <f>ROUND(IF(AQ505="7",BH505,0),2)</f>
        <v>0</v>
      </c>
      <c r="AE505" s="35">
        <f>ROUND(IF(AQ505="7",BI505,0),2)</f>
        <v>0</v>
      </c>
      <c r="AF505" s="35">
        <f>ROUND(IF(AQ505="2",BH505,0),2)</f>
        <v>0</v>
      </c>
      <c r="AG505" s="35">
        <f>ROUND(IF(AQ505="2",BI505,0),2)</f>
        <v>0</v>
      </c>
      <c r="AH505" s="35">
        <f>ROUND(IF(AQ505="0",BJ505,0),2)</f>
        <v>0</v>
      </c>
      <c r="AI505" s="46" t="s">
        <v>94</v>
      </c>
      <c r="AJ505" s="35">
        <f>IF(AN505=0,I505,0)</f>
        <v>0</v>
      </c>
      <c r="AK505" s="35">
        <f>IF(AN505=12,I505,0)</f>
        <v>0</v>
      </c>
      <c r="AL505" s="35">
        <f>IF(AN505=21,I505,0)</f>
        <v>0</v>
      </c>
      <c r="AN505" s="35">
        <v>21</v>
      </c>
      <c r="AO505" s="35">
        <f>H505*1</f>
        <v>0</v>
      </c>
      <c r="AP505" s="35">
        <f>H505*(1-1)</f>
        <v>0</v>
      </c>
      <c r="AQ505" s="62" t="s">
        <v>127</v>
      </c>
      <c r="AV505" s="35">
        <f>ROUND(AW505+AX505,2)</f>
        <v>0</v>
      </c>
      <c r="AW505" s="35">
        <f>ROUND(G505*AO505,2)</f>
        <v>0</v>
      </c>
      <c r="AX505" s="35">
        <f>ROUND(G505*AP505,2)</f>
        <v>0</v>
      </c>
      <c r="AY505" s="62" t="s">
        <v>1038</v>
      </c>
      <c r="AZ505" s="62" t="s">
        <v>1039</v>
      </c>
      <c r="BA505" s="46" t="s">
        <v>868</v>
      </c>
      <c r="BC505" s="35">
        <f>AW505+AX505</f>
        <v>0</v>
      </c>
      <c r="BD505" s="35">
        <f>H505/(100-BE505)*100</f>
        <v>0</v>
      </c>
      <c r="BE505" s="35">
        <v>0</v>
      </c>
      <c r="BF505" s="35">
        <f>505</f>
        <v>505</v>
      </c>
      <c r="BH505" s="35">
        <f>G505*AO505</f>
        <v>0</v>
      </c>
      <c r="BI505" s="35">
        <f>G505*AP505</f>
        <v>0</v>
      </c>
      <c r="BJ505" s="35">
        <f>G505*H505</f>
        <v>0</v>
      </c>
      <c r="BK505" s="62" t="s">
        <v>277</v>
      </c>
      <c r="BL505" s="35">
        <v>8</v>
      </c>
      <c r="BW505" s="35">
        <v>21</v>
      </c>
      <c r="BX505" s="3" t="s">
        <v>1068</v>
      </c>
    </row>
    <row r="506" spans="1:76" ht="25.5">
      <c r="A506" s="1" t="s">
        <v>1069</v>
      </c>
      <c r="B506" s="2" t="s">
        <v>94</v>
      </c>
      <c r="C506" s="2" t="s">
        <v>1070</v>
      </c>
      <c r="D506" s="92" t="s">
        <v>1071</v>
      </c>
      <c r="E506" s="87"/>
      <c r="F506" s="2" t="s">
        <v>321</v>
      </c>
      <c r="G506" s="35">
        <v>3</v>
      </c>
      <c r="H506" s="61">
        <v>0</v>
      </c>
      <c r="I506" s="35">
        <f>ROUND(G506*H506,2)</f>
        <v>0</v>
      </c>
      <c r="K506" s="51"/>
      <c r="Z506" s="35">
        <f>ROUND(IF(AQ506="5",BJ506,0),2)</f>
        <v>0</v>
      </c>
      <c r="AB506" s="35">
        <f>ROUND(IF(AQ506="1",BH506,0),2)</f>
        <v>0</v>
      </c>
      <c r="AC506" s="35">
        <f>ROUND(IF(AQ506="1",BI506,0),2)</f>
        <v>0</v>
      </c>
      <c r="AD506" s="35">
        <f>ROUND(IF(AQ506="7",BH506,0),2)</f>
        <v>0</v>
      </c>
      <c r="AE506" s="35">
        <f>ROUND(IF(AQ506="7",BI506,0),2)</f>
        <v>0</v>
      </c>
      <c r="AF506" s="35">
        <f>ROUND(IF(AQ506="2",BH506,0),2)</f>
        <v>0</v>
      </c>
      <c r="AG506" s="35">
        <f>ROUND(IF(AQ506="2",BI506,0),2)</f>
        <v>0</v>
      </c>
      <c r="AH506" s="35">
        <f>ROUND(IF(AQ506="0",BJ506,0),2)</f>
        <v>0</v>
      </c>
      <c r="AI506" s="46" t="s">
        <v>94</v>
      </c>
      <c r="AJ506" s="35">
        <f>IF(AN506=0,I506,0)</f>
        <v>0</v>
      </c>
      <c r="AK506" s="35">
        <f>IF(AN506=12,I506,0)</f>
        <v>0</v>
      </c>
      <c r="AL506" s="35">
        <f>IF(AN506=21,I506,0)</f>
        <v>0</v>
      </c>
      <c r="AN506" s="35">
        <v>21</v>
      </c>
      <c r="AO506" s="35">
        <f>H506*1</f>
        <v>0</v>
      </c>
      <c r="AP506" s="35">
        <f>H506*(1-1)</f>
        <v>0</v>
      </c>
      <c r="AQ506" s="62" t="s">
        <v>127</v>
      </c>
      <c r="AV506" s="35">
        <f>ROUND(AW506+AX506,2)</f>
        <v>0</v>
      </c>
      <c r="AW506" s="35">
        <f>ROUND(G506*AO506,2)</f>
        <v>0</v>
      </c>
      <c r="AX506" s="35">
        <f>ROUND(G506*AP506,2)</f>
        <v>0</v>
      </c>
      <c r="AY506" s="62" t="s">
        <v>1038</v>
      </c>
      <c r="AZ506" s="62" t="s">
        <v>1039</v>
      </c>
      <c r="BA506" s="46" t="s">
        <v>868</v>
      </c>
      <c r="BC506" s="35">
        <f>AW506+AX506</f>
        <v>0</v>
      </c>
      <c r="BD506" s="35">
        <f>H506/(100-BE506)*100</f>
        <v>0</v>
      </c>
      <c r="BE506" s="35">
        <v>0</v>
      </c>
      <c r="BF506" s="35">
        <f>506</f>
        <v>506</v>
      </c>
      <c r="BH506" s="35">
        <f>G506*AO506</f>
        <v>0</v>
      </c>
      <c r="BI506" s="35">
        <f>G506*AP506</f>
        <v>0</v>
      </c>
      <c r="BJ506" s="35">
        <f>G506*H506</f>
        <v>0</v>
      </c>
      <c r="BK506" s="62" t="s">
        <v>277</v>
      </c>
      <c r="BL506" s="35">
        <v>8</v>
      </c>
      <c r="BW506" s="35">
        <v>21</v>
      </c>
      <c r="BX506" s="3" t="s">
        <v>1071</v>
      </c>
    </row>
    <row r="507" spans="1:76" ht="25.5">
      <c r="A507" s="1" t="s">
        <v>1072</v>
      </c>
      <c r="B507" s="2" t="s">
        <v>94</v>
      </c>
      <c r="C507" s="2" t="s">
        <v>1073</v>
      </c>
      <c r="D507" s="92" t="s">
        <v>1074</v>
      </c>
      <c r="E507" s="87"/>
      <c r="F507" s="2" t="s">
        <v>321</v>
      </c>
      <c r="G507" s="35">
        <v>4.12</v>
      </c>
      <c r="H507" s="61">
        <v>0</v>
      </c>
      <c r="I507" s="35">
        <f>ROUND(G507*H507,2)</f>
        <v>0</v>
      </c>
      <c r="K507" s="51"/>
      <c r="Z507" s="35">
        <f>ROUND(IF(AQ507="5",BJ507,0),2)</f>
        <v>0</v>
      </c>
      <c r="AB507" s="35">
        <f>ROUND(IF(AQ507="1",BH507,0),2)</f>
        <v>0</v>
      </c>
      <c r="AC507" s="35">
        <f>ROUND(IF(AQ507="1",BI507,0),2)</f>
        <v>0</v>
      </c>
      <c r="AD507" s="35">
        <f>ROUND(IF(AQ507="7",BH507,0),2)</f>
        <v>0</v>
      </c>
      <c r="AE507" s="35">
        <f>ROUND(IF(AQ507="7",BI507,0),2)</f>
        <v>0</v>
      </c>
      <c r="AF507" s="35">
        <f>ROUND(IF(AQ507="2",BH507,0),2)</f>
        <v>0</v>
      </c>
      <c r="AG507" s="35">
        <f>ROUND(IF(AQ507="2",BI507,0),2)</f>
        <v>0</v>
      </c>
      <c r="AH507" s="35">
        <f>ROUND(IF(AQ507="0",BJ507,0),2)</f>
        <v>0</v>
      </c>
      <c r="AI507" s="46" t="s">
        <v>94</v>
      </c>
      <c r="AJ507" s="35">
        <f>IF(AN507=0,I507,0)</f>
        <v>0</v>
      </c>
      <c r="AK507" s="35">
        <f>IF(AN507=12,I507,0)</f>
        <v>0</v>
      </c>
      <c r="AL507" s="35">
        <f>IF(AN507=21,I507,0)</f>
        <v>0</v>
      </c>
      <c r="AN507" s="35">
        <v>21</v>
      </c>
      <c r="AO507" s="35">
        <f>H507*1</f>
        <v>0</v>
      </c>
      <c r="AP507" s="35">
        <f>H507*(1-1)</f>
        <v>0</v>
      </c>
      <c r="AQ507" s="62" t="s">
        <v>127</v>
      </c>
      <c r="AV507" s="35">
        <f>ROUND(AW507+AX507,2)</f>
        <v>0</v>
      </c>
      <c r="AW507" s="35">
        <f>ROUND(G507*AO507,2)</f>
        <v>0</v>
      </c>
      <c r="AX507" s="35">
        <f>ROUND(G507*AP507,2)</f>
        <v>0</v>
      </c>
      <c r="AY507" s="62" t="s">
        <v>1038</v>
      </c>
      <c r="AZ507" s="62" t="s">
        <v>1039</v>
      </c>
      <c r="BA507" s="46" t="s">
        <v>868</v>
      </c>
      <c r="BC507" s="35">
        <f>AW507+AX507</f>
        <v>0</v>
      </c>
      <c r="BD507" s="35">
        <f>H507/(100-BE507)*100</f>
        <v>0</v>
      </c>
      <c r="BE507" s="35">
        <v>0</v>
      </c>
      <c r="BF507" s="35">
        <f>507</f>
        <v>507</v>
      </c>
      <c r="BH507" s="35">
        <f>G507*AO507</f>
        <v>0</v>
      </c>
      <c r="BI507" s="35">
        <f>G507*AP507</f>
        <v>0</v>
      </c>
      <c r="BJ507" s="35">
        <f>G507*H507</f>
        <v>0</v>
      </c>
      <c r="BK507" s="62" t="s">
        <v>277</v>
      </c>
      <c r="BL507" s="35">
        <v>8</v>
      </c>
      <c r="BW507" s="35">
        <v>21</v>
      </c>
      <c r="BX507" s="3" t="s">
        <v>1074</v>
      </c>
    </row>
    <row r="508" spans="1:76">
      <c r="A508" s="68"/>
      <c r="D508" s="69" t="s">
        <v>1075</v>
      </c>
      <c r="E508" s="70" t="s">
        <v>4</v>
      </c>
      <c r="G508" s="71">
        <v>4.12</v>
      </c>
      <c r="K508" s="51"/>
    </row>
    <row r="509" spans="1:76" ht="25.5">
      <c r="A509" s="1" t="s">
        <v>1076</v>
      </c>
      <c r="B509" s="2" t="s">
        <v>94</v>
      </c>
      <c r="C509" s="2" t="s">
        <v>1077</v>
      </c>
      <c r="D509" s="92" t="s">
        <v>1078</v>
      </c>
      <c r="E509" s="87"/>
      <c r="F509" s="2" t="s">
        <v>321</v>
      </c>
      <c r="G509" s="35">
        <v>1.1160000000000001</v>
      </c>
      <c r="H509" s="61">
        <v>0</v>
      </c>
      <c r="I509" s="35">
        <f>ROUND(G509*H509,2)</f>
        <v>0</v>
      </c>
      <c r="K509" s="51"/>
      <c r="Z509" s="35">
        <f>ROUND(IF(AQ509="5",BJ509,0),2)</f>
        <v>0</v>
      </c>
      <c r="AB509" s="35">
        <f>ROUND(IF(AQ509="1",BH509,0),2)</f>
        <v>0</v>
      </c>
      <c r="AC509" s="35">
        <f>ROUND(IF(AQ509="1",BI509,0),2)</f>
        <v>0</v>
      </c>
      <c r="AD509" s="35">
        <f>ROUND(IF(AQ509="7",BH509,0),2)</f>
        <v>0</v>
      </c>
      <c r="AE509" s="35">
        <f>ROUND(IF(AQ509="7",BI509,0),2)</f>
        <v>0</v>
      </c>
      <c r="AF509" s="35">
        <f>ROUND(IF(AQ509="2",BH509,0),2)</f>
        <v>0</v>
      </c>
      <c r="AG509" s="35">
        <f>ROUND(IF(AQ509="2",BI509,0),2)</f>
        <v>0</v>
      </c>
      <c r="AH509" s="35">
        <f>ROUND(IF(AQ509="0",BJ509,0),2)</f>
        <v>0</v>
      </c>
      <c r="AI509" s="46" t="s">
        <v>94</v>
      </c>
      <c r="AJ509" s="35">
        <f>IF(AN509=0,I509,0)</f>
        <v>0</v>
      </c>
      <c r="AK509" s="35">
        <f>IF(AN509=12,I509,0)</f>
        <v>0</v>
      </c>
      <c r="AL509" s="35">
        <f>IF(AN509=21,I509,0)</f>
        <v>0</v>
      </c>
      <c r="AN509" s="35">
        <v>21</v>
      </c>
      <c r="AO509" s="35">
        <f>H509*1</f>
        <v>0</v>
      </c>
      <c r="AP509" s="35">
        <f>H509*(1-1)</f>
        <v>0</v>
      </c>
      <c r="AQ509" s="62" t="s">
        <v>127</v>
      </c>
      <c r="AV509" s="35">
        <f>ROUND(AW509+AX509,2)</f>
        <v>0</v>
      </c>
      <c r="AW509" s="35">
        <f>ROUND(G509*AO509,2)</f>
        <v>0</v>
      </c>
      <c r="AX509" s="35">
        <f>ROUND(G509*AP509,2)</f>
        <v>0</v>
      </c>
      <c r="AY509" s="62" t="s">
        <v>1038</v>
      </c>
      <c r="AZ509" s="62" t="s">
        <v>1039</v>
      </c>
      <c r="BA509" s="46" t="s">
        <v>868</v>
      </c>
      <c r="BC509" s="35">
        <f>AW509+AX509</f>
        <v>0</v>
      </c>
      <c r="BD509" s="35">
        <f>H509/(100-BE509)*100</f>
        <v>0</v>
      </c>
      <c r="BE509" s="35">
        <v>0</v>
      </c>
      <c r="BF509" s="35">
        <f>509</f>
        <v>509</v>
      </c>
      <c r="BH509" s="35">
        <f>G509*AO509</f>
        <v>0</v>
      </c>
      <c r="BI509" s="35">
        <f>G509*AP509</f>
        <v>0</v>
      </c>
      <c r="BJ509" s="35">
        <f>G509*H509</f>
        <v>0</v>
      </c>
      <c r="BK509" s="62" t="s">
        <v>277</v>
      </c>
      <c r="BL509" s="35">
        <v>8</v>
      </c>
      <c r="BW509" s="35">
        <v>21</v>
      </c>
      <c r="BX509" s="3" t="s">
        <v>1078</v>
      </c>
    </row>
    <row r="510" spans="1:76">
      <c r="A510" s="68"/>
      <c r="D510" s="69" t="s">
        <v>1079</v>
      </c>
      <c r="E510" s="70" t="s">
        <v>4</v>
      </c>
      <c r="G510" s="71">
        <v>1.1158300000000001</v>
      </c>
      <c r="K510" s="51"/>
    </row>
    <row r="511" spans="1:76">
      <c r="A511" s="1" t="s">
        <v>1080</v>
      </c>
      <c r="B511" s="2" t="s">
        <v>94</v>
      </c>
      <c r="C511" s="2" t="s">
        <v>1081</v>
      </c>
      <c r="D511" s="92" t="s">
        <v>1082</v>
      </c>
      <c r="E511" s="87"/>
      <c r="F511" s="2" t="s">
        <v>321</v>
      </c>
      <c r="G511" s="35">
        <v>3.03</v>
      </c>
      <c r="H511" s="61">
        <v>0</v>
      </c>
      <c r="I511" s="35">
        <f>ROUND(G511*H511,2)</f>
        <v>0</v>
      </c>
      <c r="K511" s="51"/>
      <c r="Z511" s="35">
        <f>ROUND(IF(AQ511="5",BJ511,0),2)</f>
        <v>0</v>
      </c>
      <c r="AB511" s="35">
        <f>ROUND(IF(AQ511="1",BH511,0),2)</f>
        <v>0</v>
      </c>
      <c r="AC511" s="35">
        <f>ROUND(IF(AQ511="1",BI511,0),2)</f>
        <v>0</v>
      </c>
      <c r="AD511" s="35">
        <f>ROUND(IF(AQ511="7",BH511,0),2)</f>
        <v>0</v>
      </c>
      <c r="AE511" s="35">
        <f>ROUND(IF(AQ511="7",BI511,0),2)</f>
        <v>0</v>
      </c>
      <c r="AF511" s="35">
        <f>ROUND(IF(AQ511="2",BH511,0),2)</f>
        <v>0</v>
      </c>
      <c r="AG511" s="35">
        <f>ROUND(IF(AQ511="2",BI511,0),2)</f>
        <v>0</v>
      </c>
      <c r="AH511" s="35">
        <f>ROUND(IF(AQ511="0",BJ511,0),2)</f>
        <v>0</v>
      </c>
      <c r="AI511" s="46" t="s">
        <v>94</v>
      </c>
      <c r="AJ511" s="35">
        <f>IF(AN511=0,I511,0)</f>
        <v>0</v>
      </c>
      <c r="AK511" s="35">
        <f>IF(AN511=12,I511,0)</f>
        <v>0</v>
      </c>
      <c r="AL511" s="35">
        <f>IF(AN511=21,I511,0)</f>
        <v>0</v>
      </c>
      <c r="AN511" s="35">
        <v>21</v>
      </c>
      <c r="AO511" s="35">
        <f>H511*1</f>
        <v>0</v>
      </c>
      <c r="AP511" s="35">
        <f>H511*(1-1)</f>
        <v>0</v>
      </c>
      <c r="AQ511" s="62" t="s">
        <v>127</v>
      </c>
      <c r="AV511" s="35">
        <f>ROUND(AW511+AX511,2)</f>
        <v>0</v>
      </c>
      <c r="AW511" s="35">
        <f>ROUND(G511*AO511,2)</f>
        <v>0</v>
      </c>
      <c r="AX511" s="35">
        <f>ROUND(G511*AP511,2)</f>
        <v>0</v>
      </c>
      <c r="AY511" s="62" t="s">
        <v>1038</v>
      </c>
      <c r="AZ511" s="62" t="s">
        <v>1039</v>
      </c>
      <c r="BA511" s="46" t="s">
        <v>868</v>
      </c>
      <c r="BC511" s="35">
        <f>AW511+AX511</f>
        <v>0</v>
      </c>
      <c r="BD511" s="35">
        <f>H511/(100-BE511)*100</f>
        <v>0</v>
      </c>
      <c r="BE511" s="35">
        <v>0</v>
      </c>
      <c r="BF511" s="35">
        <f>511</f>
        <v>511</v>
      </c>
      <c r="BH511" s="35">
        <f>G511*AO511</f>
        <v>0</v>
      </c>
      <c r="BI511" s="35">
        <f>G511*AP511</f>
        <v>0</v>
      </c>
      <c r="BJ511" s="35">
        <f>G511*H511</f>
        <v>0</v>
      </c>
      <c r="BK511" s="62" t="s">
        <v>277</v>
      </c>
      <c r="BL511" s="35">
        <v>8</v>
      </c>
      <c r="BW511" s="35">
        <v>21</v>
      </c>
      <c r="BX511" s="3" t="s">
        <v>1082</v>
      </c>
    </row>
    <row r="512" spans="1:76">
      <c r="A512" s="68"/>
      <c r="D512" s="69" t="s">
        <v>1083</v>
      </c>
      <c r="E512" s="70" t="s">
        <v>4</v>
      </c>
      <c r="G512" s="71">
        <v>3.03</v>
      </c>
      <c r="K512" s="51"/>
    </row>
    <row r="513" spans="1:76">
      <c r="A513" s="1" t="s">
        <v>1084</v>
      </c>
      <c r="B513" s="2" t="s">
        <v>94</v>
      </c>
      <c r="C513" s="2" t="s">
        <v>1085</v>
      </c>
      <c r="D513" s="92" t="s">
        <v>1086</v>
      </c>
      <c r="E513" s="87"/>
      <c r="F513" s="2" t="s">
        <v>321</v>
      </c>
      <c r="G513" s="35">
        <v>3.03</v>
      </c>
      <c r="H513" s="61">
        <v>0</v>
      </c>
      <c r="I513" s="35">
        <f>ROUND(G513*H513,2)</f>
        <v>0</v>
      </c>
      <c r="K513" s="51"/>
      <c r="Z513" s="35">
        <f>ROUND(IF(AQ513="5",BJ513,0),2)</f>
        <v>0</v>
      </c>
      <c r="AB513" s="35">
        <f>ROUND(IF(AQ513="1",BH513,0),2)</f>
        <v>0</v>
      </c>
      <c r="AC513" s="35">
        <f>ROUND(IF(AQ513="1",BI513,0),2)</f>
        <v>0</v>
      </c>
      <c r="AD513" s="35">
        <f>ROUND(IF(AQ513="7",BH513,0),2)</f>
        <v>0</v>
      </c>
      <c r="AE513" s="35">
        <f>ROUND(IF(AQ513="7",BI513,0),2)</f>
        <v>0</v>
      </c>
      <c r="AF513" s="35">
        <f>ROUND(IF(AQ513="2",BH513,0),2)</f>
        <v>0</v>
      </c>
      <c r="AG513" s="35">
        <f>ROUND(IF(AQ513="2",BI513,0),2)</f>
        <v>0</v>
      </c>
      <c r="AH513" s="35">
        <f>ROUND(IF(AQ513="0",BJ513,0),2)</f>
        <v>0</v>
      </c>
      <c r="AI513" s="46" t="s">
        <v>94</v>
      </c>
      <c r="AJ513" s="35">
        <f>IF(AN513=0,I513,0)</f>
        <v>0</v>
      </c>
      <c r="AK513" s="35">
        <f>IF(AN513=12,I513,0)</f>
        <v>0</v>
      </c>
      <c r="AL513" s="35">
        <f>IF(AN513=21,I513,0)</f>
        <v>0</v>
      </c>
      <c r="AN513" s="35">
        <v>21</v>
      </c>
      <c r="AO513" s="35">
        <f>H513*1</f>
        <v>0</v>
      </c>
      <c r="AP513" s="35">
        <f>H513*(1-1)</f>
        <v>0</v>
      </c>
      <c r="AQ513" s="62" t="s">
        <v>127</v>
      </c>
      <c r="AV513" s="35">
        <f>ROUND(AW513+AX513,2)</f>
        <v>0</v>
      </c>
      <c r="AW513" s="35">
        <f>ROUND(G513*AO513,2)</f>
        <v>0</v>
      </c>
      <c r="AX513" s="35">
        <f>ROUND(G513*AP513,2)</f>
        <v>0</v>
      </c>
      <c r="AY513" s="62" t="s">
        <v>1038</v>
      </c>
      <c r="AZ513" s="62" t="s">
        <v>1039</v>
      </c>
      <c r="BA513" s="46" t="s">
        <v>868</v>
      </c>
      <c r="BC513" s="35">
        <f>AW513+AX513</f>
        <v>0</v>
      </c>
      <c r="BD513" s="35">
        <f>H513/(100-BE513)*100</f>
        <v>0</v>
      </c>
      <c r="BE513" s="35">
        <v>0</v>
      </c>
      <c r="BF513" s="35">
        <f>513</f>
        <v>513</v>
      </c>
      <c r="BH513" s="35">
        <f>G513*AO513</f>
        <v>0</v>
      </c>
      <c r="BI513" s="35">
        <f>G513*AP513</f>
        <v>0</v>
      </c>
      <c r="BJ513" s="35">
        <f>G513*H513</f>
        <v>0</v>
      </c>
      <c r="BK513" s="62" t="s">
        <v>277</v>
      </c>
      <c r="BL513" s="35">
        <v>8</v>
      </c>
      <c r="BW513" s="35">
        <v>21</v>
      </c>
      <c r="BX513" s="3" t="s">
        <v>1086</v>
      </c>
    </row>
    <row r="514" spans="1:76">
      <c r="A514" s="68"/>
      <c r="D514" s="69" t="s">
        <v>1083</v>
      </c>
      <c r="E514" s="70" t="s">
        <v>4</v>
      </c>
      <c r="G514" s="71">
        <v>3.03</v>
      </c>
      <c r="K514" s="51"/>
    </row>
    <row r="515" spans="1:76">
      <c r="A515" s="1" t="s">
        <v>1087</v>
      </c>
      <c r="B515" s="2" t="s">
        <v>94</v>
      </c>
      <c r="C515" s="2" t="s">
        <v>1088</v>
      </c>
      <c r="D515" s="92" t="s">
        <v>1089</v>
      </c>
      <c r="E515" s="87"/>
      <c r="F515" s="2" t="s">
        <v>321</v>
      </c>
      <c r="G515" s="35">
        <v>3.03</v>
      </c>
      <c r="H515" s="61">
        <v>0</v>
      </c>
      <c r="I515" s="35">
        <f>ROUND(G515*H515,2)</f>
        <v>0</v>
      </c>
      <c r="K515" s="51"/>
      <c r="Z515" s="35">
        <f>ROUND(IF(AQ515="5",BJ515,0),2)</f>
        <v>0</v>
      </c>
      <c r="AB515" s="35">
        <f>ROUND(IF(AQ515="1",BH515,0),2)</f>
        <v>0</v>
      </c>
      <c r="AC515" s="35">
        <f>ROUND(IF(AQ515="1",BI515,0),2)</f>
        <v>0</v>
      </c>
      <c r="AD515" s="35">
        <f>ROUND(IF(AQ515="7",BH515,0),2)</f>
        <v>0</v>
      </c>
      <c r="AE515" s="35">
        <f>ROUND(IF(AQ515="7",BI515,0),2)</f>
        <v>0</v>
      </c>
      <c r="AF515" s="35">
        <f>ROUND(IF(AQ515="2",BH515,0),2)</f>
        <v>0</v>
      </c>
      <c r="AG515" s="35">
        <f>ROUND(IF(AQ515="2",BI515,0),2)</f>
        <v>0</v>
      </c>
      <c r="AH515" s="35">
        <f>ROUND(IF(AQ515="0",BJ515,0),2)</f>
        <v>0</v>
      </c>
      <c r="AI515" s="46" t="s">
        <v>94</v>
      </c>
      <c r="AJ515" s="35">
        <f>IF(AN515=0,I515,0)</f>
        <v>0</v>
      </c>
      <c r="AK515" s="35">
        <f>IF(AN515=12,I515,0)</f>
        <v>0</v>
      </c>
      <c r="AL515" s="35">
        <f>IF(AN515=21,I515,0)</f>
        <v>0</v>
      </c>
      <c r="AN515" s="35">
        <v>21</v>
      </c>
      <c r="AO515" s="35">
        <f>H515*1</f>
        <v>0</v>
      </c>
      <c r="AP515" s="35">
        <f>H515*(1-1)</f>
        <v>0</v>
      </c>
      <c r="AQ515" s="62" t="s">
        <v>127</v>
      </c>
      <c r="AV515" s="35">
        <f>ROUND(AW515+AX515,2)</f>
        <v>0</v>
      </c>
      <c r="AW515" s="35">
        <f>ROUND(G515*AO515,2)</f>
        <v>0</v>
      </c>
      <c r="AX515" s="35">
        <f>ROUND(G515*AP515,2)</f>
        <v>0</v>
      </c>
      <c r="AY515" s="62" t="s">
        <v>1038</v>
      </c>
      <c r="AZ515" s="62" t="s">
        <v>1039</v>
      </c>
      <c r="BA515" s="46" t="s">
        <v>868</v>
      </c>
      <c r="BC515" s="35">
        <f>AW515+AX515</f>
        <v>0</v>
      </c>
      <c r="BD515" s="35">
        <f>H515/(100-BE515)*100</f>
        <v>0</v>
      </c>
      <c r="BE515" s="35">
        <v>0</v>
      </c>
      <c r="BF515" s="35">
        <f>515</f>
        <v>515</v>
      </c>
      <c r="BH515" s="35">
        <f>G515*AO515</f>
        <v>0</v>
      </c>
      <c r="BI515" s="35">
        <f>G515*AP515</f>
        <v>0</v>
      </c>
      <c r="BJ515" s="35">
        <f>G515*H515</f>
        <v>0</v>
      </c>
      <c r="BK515" s="62" t="s">
        <v>277</v>
      </c>
      <c r="BL515" s="35">
        <v>8</v>
      </c>
      <c r="BW515" s="35">
        <v>21</v>
      </c>
      <c r="BX515" s="3" t="s">
        <v>1089</v>
      </c>
    </row>
    <row r="516" spans="1:76">
      <c r="A516" s="68"/>
      <c r="D516" s="69" t="s">
        <v>1083</v>
      </c>
      <c r="E516" s="70" t="s">
        <v>4</v>
      </c>
      <c r="G516" s="71">
        <v>3.03</v>
      </c>
      <c r="K516" s="51"/>
    </row>
    <row r="517" spans="1:76" ht="25.5">
      <c r="A517" s="1" t="s">
        <v>1090</v>
      </c>
      <c r="B517" s="2" t="s">
        <v>94</v>
      </c>
      <c r="C517" s="2" t="s">
        <v>1091</v>
      </c>
      <c r="D517" s="92" t="s">
        <v>1092</v>
      </c>
      <c r="E517" s="87"/>
      <c r="F517" s="2" t="s">
        <v>321</v>
      </c>
      <c r="G517" s="35">
        <v>3.03</v>
      </c>
      <c r="H517" s="61">
        <v>0</v>
      </c>
      <c r="I517" s="35">
        <f>ROUND(G517*H517,2)</f>
        <v>0</v>
      </c>
      <c r="K517" s="51"/>
      <c r="Z517" s="35">
        <f>ROUND(IF(AQ517="5",BJ517,0),2)</f>
        <v>0</v>
      </c>
      <c r="AB517" s="35">
        <f>ROUND(IF(AQ517="1",BH517,0),2)</f>
        <v>0</v>
      </c>
      <c r="AC517" s="35">
        <f>ROUND(IF(AQ517="1",BI517,0),2)</f>
        <v>0</v>
      </c>
      <c r="AD517" s="35">
        <f>ROUND(IF(AQ517="7",BH517,0),2)</f>
        <v>0</v>
      </c>
      <c r="AE517" s="35">
        <f>ROUND(IF(AQ517="7",BI517,0),2)</f>
        <v>0</v>
      </c>
      <c r="AF517" s="35">
        <f>ROUND(IF(AQ517="2",BH517,0),2)</f>
        <v>0</v>
      </c>
      <c r="AG517" s="35">
        <f>ROUND(IF(AQ517="2",BI517,0),2)</f>
        <v>0</v>
      </c>
      <c r="AH517" s="35">
        <f>ROUND(IF(AQ517="0",BJ517,0),2)</f>
        <v>0</v>
      </c>
      <c r="AI517" s="46" t="s">
        <v>94</v>
      </c>
      <c r="AJ517" s="35">
        <f>IF(AN517=0,I517,0)</f>
        <v>0</v>
      </c>
      <c r="AK517" s="35">
        <f>IF(AN517=12,I517,0)</f>
        <v>0</v>
      </c>
      <c r="AL517" s="35">
        <f>IF(AN517=21,I517,0)</f>
        <v>0</v>
      </c>
      <c r="AN517" s="35">
        <v>21</v>
      </c>
      <c r="AO517" s="35">
        <f>H517*1</f>
        <v>0</v>
      </c>
      <c r="AP517" s="35">
        <f>H517*(1-1)</f>
        <v>0</v>
      </c>
      <c r="AQ517" s="62" t="s">
        <v>127</v>
      </c>
      <c r="AV517" s="35">
        <f>ROUND(AW517+AX517,2)</f>
        <v>0</v>
      </c>
      <c r="AW517" s="35">
        <f>ROUND(G517*AO517,2)</f>
        <v>0</v>
      </c>
      <c r="AX517" s="35">
        <f>ROUND(G517*AP517,2)</f>
        <v>0</v>
      </c>
      <c r="AY517" s="62" t="s">
        <v>1038</v>
      </c>
      <c r="AZ517" s="62" t="s">
        <v>1039</v>
      </c>
      <c r="BA517" s="46" t="s">
        <v>868</v>
      </c>
      <c r="BC517" s="35">
        <f>AW517+AX517</f>
        <v>0</v>
      </c>
      <c r="BD517" s="35">
        <f>H517/(100-BE517)*100</f>
        <v>0</v>
      </c>
      <c r="BE517" s="35">
        <v>0</v>
      </c>
      <c r="BF517" s="35">
        <f>517</f>
        <v>517</v>
      </c>
      <c r="BH517" s="35">
        <f>G517*AO517</f>
        <v>0</v>
      </c>
      <c r="BI517" s="35">
        <f>G517*AP517</f>
        <v>0</v>
      </c>
      <c r="BJ517" s="35">
        <f>G517*H517</f>
        <v>0</v>
      </c>
      <c r="BK517" s="62" t="s">
        <v>277</v>
      </c>
      <c r="BL517" s="35">
        <v>8</v>
      </c>
      <c r="BW517" s="35">
        <v>21</v>
      </c>
      <c r="BX517" s="3" t="s">
        <v>1092</v>
      </c>
    </row>
    <row r="518" spans="1:76">
      <c r="A518" s="68"/>
      <c r="D518" s="69" t="s">
        <v>1083</v>
      </c>
      <c r="E518" s="70" t="s">
        <v>4</v>
      </c>
      <c r="G518" s="71">
        <v>3.03</v>
      </c>
      <c r="K518" s="51"/>
    </row>
    <row r="519" spans="1:76">
      <c r="A519" s="57" t="s">
        <v>4</v>
      </c>
      <c r="B519" s="58" t="s">
        <v>94</v>
      </c>
      <c r="C519" s="58" t="s">
        <v>443</v>
      </c>
      <c r="D519" s="174" t="s">
        <v>444</v>
      </c>
      <c r="E519" s="175"/>
      <c r="F519" s="59" t="s">
        <v>79</v>
      </c>
      <c r="G519" s="59" t="s">
        <v>79</v>
      </c>
      <c r="H519" s="60" t="s">
        <v>79</v>
      </c>
      <c r="I519" s="40">
        <f>SUM(I520:I522)</f>
        <v>0</v>
      </c>
      <c r="K519" s="51"/>
      <c r="AI519" s="46" t="s">
        <v>94</v>
      </c>
      <c r="AS519" s="40">
        <f>SUM(AJ520:AJ522)</f>
        <v>0</v>
      </c>
      <c r="AT519" s="40">
        <f>SUM(AK520:AK522)</f>
        <v>0</v>
      </c>
      <c r="AU519" s="40">
        <f>SUM(AL520:AL522)</f>
        <v>0</v>
      </c>
    </row>
    <row r="520" spans="1:76">
      <c r="A520" s="1" t="s">
        <v>1093</v>
      </c>
      <c r="B520" s="2" t="s">
        <v>94</v>
      </c>
      <c r="C520" s="2" t="s">
        <v>1094</v>
      </c>
      <c r="D520" s="92" t="s">
        <v>1095</v>
      </c>
      <c r="E520" s="87"/>
      <c r="F520" s="2" t="s">
        <v>282</v>
      </c>
      <c r="G520" s="35">
        <v>7.5</v>
      </c>
      <c r="H520" s="61">
        <v>0</v>
      </c>
      <c r="I520" s="35">
        <f>ROUND(G520*H520,2)</f>
        <v>0</v>
      </c>
      <c r="K520" s="51"/>
      <c r="Z520" s="35">
        <f>ROUND(IF(AQ520="5",BJ520,0),2)</f>
        <v>0</v>
      </c>
      <c r="AB520" s="35">
        <f>ROUND(IF(AQ520="1",BH520,0),2)</f>
        <v>0</v>
      </c>
      <c r="AC520" s="35">
        <f>ROUND(IF(AQ520="1",BI520,0),2)</f>
        <v>0</v>
      </c>
      <c r="AD520" s="35">
        <f>ROUND(IF(AQ520="7",BH520,0),2)</f>
        <v>0</v>
      </c>
      <c r="AE520" s="35">
        <f>ROUND(IF(AQ520="7",BI520,0),2)</f>
        <v>0</v>
      </c>
      <c r="AF520" s="35">
        <f>ROUND(IF(AQ520="2",BH520,0),2)</f>
        <v>0</v>
      </c>
      <c r="AG520" s="35">
        <f>ROUND(IF(AQ520="2",BI520,0),2)</f>
        <v>0</v>
      </c>
      <c r="AH520" s="35">
        <f>ROUND(IF(AQ520="0",BJ520,0),2)</f>
        <v>0</v>
      </c>
      <c r="AI520" s="46" t="s">
        <v>94</v>
      </c>
      <c r="AJ520" s="35">
        <f>IF(AN520=0,I520,0)</f>
        <v>0</v>
      </c>
      <c r="AK520" s="35">
        <f>IF(AN520=12,I520,0)</f>
        <v>0</v>
      </c>
      <c r="AL520" s="35">
        <f>IF(AN520=21,I520,0)</f>
        <v>0</v>
      </c>
      <c r="AN520" s="35">
        <v>21</v>
      </c>
      <c r="AO520" s="35">
        <f>H520*0</f>
        <v>0</v>
      </c>
      <c r="AP520" s="35">
        <f>H520*(1-0)</f>
        <v>0</v>
      </c>
      <c r="AQ520" s="62" t="s">
        <v>127</v>
      </c>
      <c r="AV520" s="35">
        <f>ROUND(AW520+AX520,2)</f>
        <v>0</v>
      </c>
      <c r="AW520" s="35">
        <f>ROUND(G520*AO520,2)</f>
        <v>0</v>
      </c>
      <c r="AX520" s="35">
        <f>ROUND(G520*AP520,2)</f>
        <v>0</v>
      </c>
      <c r="AY520" s="62" t="s">
        <v>448</v>
      </c>
      <c r="AZ520" s="62" t="s">
        <v>1096</v>
      </c>
      <c r="BA520" s="46" t="s">
        <v>868</v>
      </c>
      <c r="BC520" s="35">
        <f>AW520+AX520</f>
        <v>0</v>
      </c>
      <c r="BD520" s="35">
        <f>H520/(100-BE520)*100</f>
        <v>0</v>
      </c>
      <c r="BE520" s="35">
        <v>0</v>
      </c>
      <c r="BF520" s="35">
        <f>520</f>
        <v>520</v>
      </c>
      <c r="BH520" s="35">
        <f>G520*AO520</f>
        <v>0</v>
      </c>
      <c r="BI520" s="35">
        <f>G520*AP520</f>
        <v>0</v>
      </c>
      <c r="BJ520" s="35">
        <f>G520*H520</f>
        <v>0</v>
      </c>
      <c r="BK520" s="62" t="s">
        <v>135</v>
      </c>
      <c r="BL520" s="35">
        <v>91</v>
      </c>
      <c r="BW520" s="35">
        <v>21</v>
      </c>
      <c r="BX520" s="3" t="s">
        <v>1095</v>
      </c>
    </row>
    <row r="521" spans="1:76" ht="13.5" customHeight="1">
      <c r="A521" s="68"/>
      <c r="C521" s="72" t="s">
        <v>337</v>
      </c>
      <c r="D521" s="178" t="s">
        <v>1097</v>
      </c>
      <c r="E521" s="179"/>
      <c r="F521" s="179"/>
      <c r="G521" s="179"/>
      <c r="H521" s="180"/>
      <c r="I521" s="179"/>
      <c r="J521" s="179"/>
      <c r="K521" s="181"/>
    </row>
    <row r="522" spans="1:76">
      <c r="A522" s="1" t="s">
        <v>1098</v>
      </c>
      <c r="B522" s="2" t="s">
        <v>94</v>
      </c>
      <c r="C522" s="2" t="s">
        <v>446</v>
      </c>
      <c r="D522" s="92" t="s">
        <v>1099</v>
      </c>
      <c r="E522" s="87"/>
      <c r="F522" s="2" t="s">
        <v>282</v>
      </c>
      <c r="G522" s="35">
        <v>7.5</v>
      </c>
      <c r="H522" s="61">
        <v>0</v>
      </c>
      <c r="I522" s="35">
        <f>ROUND(G522*H522,2)</f>
        <v>0</v>
      </c>
      <c r="K522" s="51"/>
      <c r="Z522" s="35">
        <f>ROUND(IF(AQ522="5",BJ522,0),2)</f>
        <v>0</v>
      </c>
      <c r="AB522" s="35">
        <f>ROUND(IF(AQ522="1",BH522,0),2)</f>
        <v>0</v>
      </c>
      <c r="AC522" s="35">
        <f>ROUND(IF(AQ522="1",BI522,0),2)</f>
        <v>0</v>
      </c>
      <c r="AD522" s="35">
        <f>ROUND(IF(AQ522="7",BH522,0),2)</f>
        <v>0</v>
      </c>
      <c r="AE522" s="35">
        <f>ROUND(IF(AQ522="7",BI522,0),2)</f>
        <v>0</v>
      </c>
      <c r="AF522" s="35">
        <f>ROUND(IF(AQ522="2",BH522,0),2)</f>
        <v>0</v>
      </c>
      <c r="AG522" s="35">
        <f>ROUND(IF(AQ522="2",BI522,0),2)</f>
        <v>0</v>
      </c>
      <c r="AH522" s="35">
        <f>ROUND(IF(AQ522="0",BJ522,0),2)</f>
        <v>0</v>
      </c>
      <c r="AI522" s="46" t="s">
        <v>94</v>
      </c>
      <c r="AJ522" s="35">
        <f>IF(AN522=0,I522,0)</f>
        <v>0</v>
      </c>
      <c r="AK522" s="35">
        <f>IF(AN522=12,I522,0)</f>
        <v>0</v>
      </c>
      <c r="AL522" s="35">
        <f>IF(AN522=21,I522,0)</f>
        <v>0</v>
      </c>
      <c r="AN522" s="35">
        <v>21</v>
      </c>
      <c r="AO522" s="35">
        <f>H522*0</f>
        <v>0</v>
      </c>
      <c r="AP522" s="35">
        <f>H522*(1-0)</f>
        <v>0</v>
      </c>
      <c r="AQ522" s="62" t="s">
        <v>127</v>
      </c>
      <c r="AV522" s="35">
        <f>ROUND(AW522+AX522,2)</f>
        <v>0</v>
      </c>
      <c r="AW522" s="35">
        <f>ROUND(G522*AO522,2)</f>
        <v>0</v>
      </c>
      <c r="AX522" s="35">
        <f>ROUND(G522*AP522,2)</f>
        <v>0</v>
      </c>
      <c r="AY522" s="62" t="s">
        <v>448</v>
      </c>
      <c r="AZ522" s="62" t="s">
        <v>1096</v>
      </c>
      <c r="BA522" s="46" t="s">
        <v>868</v>
      </c>
      <c r="BC522" s="35">
        <f>AW522+AX522</f>
        <v>0</v>
      </c>
      <c r="BD522" s="35">
        <f>H522/(100-BE522)*100</f>
        <v>0</v>
      </c>
      <c r="BE522" s="35">
        <v>0</v>
      </c>
      <c r="BF522" s="35">
        <f>522</f>
        <v>522</v>
      </c>
      <c r="BH522" s="35">
        <f>G522*AO522</f>
        <v>0</v>
      </c>
      <c r="BI522" s="35">
        <f>G522*AP522</f>
        <v>0</v>
      </c>
      <c r="BJ522" s="35">
        <f>G522*H522</f>
        <v>0</v>
      </c>
      <c r="BK522" s="62" t="s">
        <v>135</v>
      </c>
      <c r="BL522" s="35">
        <v>91</v>
      </c>
      <c r="BW522" s="35">
        <v>21</v>
      </c>
      <c r="BX522" s="3" t="s">
        <v>1099</v>
      </c>
    </row>
    <row r="523" spans="1:76" ht="13.5" customHeight="1">
      <c r="A523" s="68"/>
      <c r="C523" s="72" t="s">
        <v>337</v>
      </c>
      <c r="D523" s="178" t="s">
        <v>1097</v>
      </c>
      <c r="E523" s="179"/>
      <c r="F523" s="179"/>
      <c r="G523" s="179"/>
      <c r="H523" s="180"/>
      <c r="I523" s="179"/>
      <c r="J523" s="179"/>
      <c r="K523" s="181"/>
    </row>
    <row r="524" spans="1:76">
      <c r="A524" s="57" t="s">
        <v>4</v>
      </c>
      <c r="B524" s="58" t="s">
        <v>94</v>
      </c>
      <c r="C524" s="58" t="s">
        <v>528</v>
      </c>
      <c r="D524" s="174" t="s">
        <v>1100</v>
      </c>
      <c r="E524" s="175"/>
      <c r="F524" s="59" t="s">
        <v>79</v>
      </c>
      <c r="G524" s="59" t="s">
        <v>79</v>
      </c>
      <c r="H524" s="60" t="s">
        <v>79</v>
      </c>
      <c r="I524" s="40">
        <f>SUM(I525:I525)</f>
        <v>0</v>
      </c>
      <c r="K524" s="51"/>
      <c r="AI524" s="46" t="s">
        <v>94</v>
      </c>
      <c r="AS524" s="40">
        <f>SUM(AJ525:AJ525)</f>
        <v>0</v>
      </c>
      <c r="AT524" s="40">
        <f>SUM(AK525:AK525)</f>
        <v>0</v>
      </c>
      <c r="AU524" s="40">
        <f>SUM(AL525:AL525)</f>
        <v>0</v>
      </c>
    </row>
    <row r="525" spans="1:76">
      <c r="A525" s="1" t="s">
        <v>1101</v>
      </c>
      <c r="B525" s="2" t="s">
        <v>94</v>
      </c>
      <c r="C525" s="2" t="s">
        <v>1102</v>
      </c>
      <c r="D525" s="92" t="s">
        <v>1103</v>
      </c>
      <c r="E525" s="87"/>
      <c r="F525" s="2" t="s">
        <v>223</v>
      </c>
      <c r="G525" s="35">
        <v>1.0999999999999999E-2</v>
      </c>
      <c r="H525" s="61">
        <v>0</v>
      </c>
      <c r="I525" s="35">
        <f>ROUND(G525*H525,2)</f>
        <v>0</v>
      </c>
      <c r="K525" s="51"/>
      <c r="Z525" s="35">
        <f>ROUND(IF(AQ525="5",BJ525,0),2)</f>
        <v>0</v>
      </c>
      <c r="AB525" s="35">
        <f>ROUND(IF(AQ525="1",BH525,0),2)</f>
        <v>0</v>
      </c>
      <c r="AC525" s="35">
        <f>ROUND(IF(AQ525="1",BI525,0),2)</f>
        <v>0</v>
      </c>
      <c r="AD525" s="35">
        <f>ROUND(IF(AQ525="7",BH525,0),2)</f>
        <v>0</v>
      </c>
      <c r="AE525" s="35">
        <f>ROUND(IF(AQ525="7",BI525,0),2)</f>
        <v>0</v>
      </c>
      <c r="AF525" s="35">
        <f>ROUND(IF(AQ525="2",BH525,0),2)</f>
        <v>0</v>
      </c>
      <c r="AG525" s="35">
        <f>ROUND(IF(AQ525="2",BI525,0),2)</f>
        <v>0</v>
      </c>
      <c r="AH525" s="35">
        <f>ROUND(IF(AQ525="0",BJ525,0),2)</f>
        <v>0</v>
      </c>
      <c r="AI525" s="46" t="s">
        <v>94</v>
      </c>
      <c r="AJ525" s="35">
        <f>IF(AN525=0,I525,0)</f>
        <v>0</v>
      </c>
      <c r="AK525" s="35">
        <f>IF(AN525=12,I525,0)</f>
        <v>0</v>
      </c>
      <c r="AL525" s="35">
        <f>IF(AN525=21,I525,0)</f>
        <v>0</v>
      </c>
      <c r="AN525" s="35">
        <v>21</v>
      </c>
      <c r="AO525" s="35">
        <f>H525*0</f>
        <v>0</v>
      </c>
      <c r="AP525" s="35">
        <f>H525*(1-0)</f>
        <v>0</v>
      </c>
      <c r="AQ525" s="62" t="s">
        <v>127</v>
      </c>
      <c r="AV525" s="35">
        <f>ROUND(AW525+AX525,2)</f>
        <v>0</v>
      </c>
      <c r="AW525" s="35">
        <f>ROUND(G525*AO525,2)</f>
        <v>0</v>
      </c>
      <c r="AX525" s="35">
        <f>ROUND(G525*AP525,2)</f>
        <v>0</v>
      </c>
      <c r="AY525" s="62" t="s">
        <v>1104</v>
      </c>
      <c r="AZ525" s="62" t="s">
        <v>1096</v>
      </c>
      <c r="BA525" s="46" t="s">
        <v>868</v>
      </c>
      <c r="BC525" s="35">
        <f>AW525+AX525</f>
        <v>0</v>
      </c>
      <c r="BD525" s="35">
        <f>H525/(100-BE525)*100</f>
        <v>0</v>
      </c>
      <c r="BE525" s="35">
        <v>0</v>
      </c>
      <c r="BF525" s="35">
        <f>525</f>
        <v>525</v>
      </c>
      <c r="BH525" s="35">
        <f>G525*AO525</f>
        <v>0</v>
      </c>
      <c r="BI525" s="35">
        <f>G525*AP525</f>
        <v>0</v>
      </c>
      <c r="BJ525" s="35">
        <f>G525*H525</f>
        <v>0</v>
      </c>
      <c r="BK525" s="62" t="s">
        <v>135</v>
      </c>
      <c r="BL525" s="35">
        <v>93</v>
      </c>
      <c r="BW525" s="35">
        <v>21</v>
      </c>
      <c r="BX525" s="3" t="s">
        <v>1103</v>
      </c>
    </row>
    <row r="526" spans="1:76" ht="27" customHeight="1">
      <c r="A526" s="68"/>
      <c r="C526" s="72" t="s">
        <v>337</v>
      </c>
      <c r="D526" s="178" t="s">
        <v>1105</v>
      </c>
      <c r="E526" s="179"/>
      <c r="F526" s="179"/>
      <c r="G526" s="179"/>
      <c r="H526" s="180"/>
      <c r="I526" s="179"/>
      <c r="J526" s="179"/>
      <c r="K526" s="181"/>
    </row>
    <row r="527" spans="1:76">
      <c r="A527" s="68"/>
      <c r="D527" s="69" t="s">
        <v>1106</v>
      </c>
      <c r="E527" s="70" t="s">
        <v>1107</v>
      </c>
      <c r="G527" s="71">
        <v>5.0000000000000001E-3</v>
      </c>
      <c r="K527" s="51"/>
    </row>
    <row r="528" spans="1:76">
      <c r="A528" s="68"/>
      <c r="D528" s="69" t="s">
        <v>1108</v>
      </c>
      <c r="E528" s="70" t="s">
        <v>1109</v>
      </c>
      <c r="G528" s="71">
        <v>6.0000000000000001E-3</v>
      </c>
      <c r="K528" s="51"/>
    </row>
    <row r="529" spans="1:76">
      <c r="A529" s="57" t="s">
        <v>4</v>
      </c>
      <c r="B529" s="58" t="s">
        <v>94</v>
      </c>
      <c r="C529" s="58" t="s">
        <v>518</v>
      </c>
      <c r="D529" s="174" t="s">
        <v>519</v>
      </c>
      <c r="E529" s="175"/>
      <c r="F529" s="59" t="s">
        <v>79</v>
      </c>
      <c r="G529" s="59" t="s">
        <v>79</v>
      </c>
      <c r="H529" s="60" t="s">
        <v>79</v>
      </c>
      <c r="I529" s="40">
        <f>SUM(I530:I535)</f>
        <v>0</v>
      </c>
      <c r="K529" s="51"/>
      <c r="AI529" s="46" t="s">
        <v>94</v>
      </c>
      <c r="AS529" s="40">
        <f>SUM(AJ530:AJ535)</f>
        <v>0</v>
      </c>
      <c r="AT529" s="40">
        <f>SUM(AK530:AK535)</f>
        <v>0</v>
      </c>
      <c r="AU529" s="40">
        <f>SUM(AL530:AL535)</f>
        <v>0</v>
      </c>
    </row>
    <row r="530" spans="1:76">
      <c r="A530" s="1" t="s">
        <v>1110</v>
      </c>
      <c r="B530" s="2" t="s">
        <v>94</v>
      </c>
      <c r="C530" s="2" t="s">
        <v>1111</v>
      </c>
      <c r="D530" s="92" t="s">
        <v>1112</v>
      </c>
      <c r="E530" s="87"/>
      <c r="F530" s="2" t="s">
        <v>282</v>
      </c>
      <c r="G530" s="35">
        <v>0.5</v>
      </c>
      <c r="H530" s="61">
        <v>0</v>
      </c>
      <c r="I530" s="35">
        <f>ROUND(G530*H530,2)</f>
        <v>0</v>
      </c>
      <c r="K530" s="51"/>
      <c r="Z530" s="35">
        <f>ROUND(IF(AQ530="5",BJ530,0),2)</f>
        <v>0</v>
      </c>
      <c r="AB530" s="35">
        <f>ROUND(IF(AQ530="1",BH530,0),2)</f>
        <v>0</v>
      </c>
      <c r="AC530" s="35">
        <f>ROUND(IF(AQ530="1",BI530,0),2)</f>
        <v>0</v>
      </c>
      <c r="AD530" s="35">
        <f>ROUND(IF(AQ530="7",BH530,0),2)</f>
        <v>0</v>
      </c>
      <c r="AE530" s="35">
        <f>ROUND(IF(AQ530="7",BI530,0),2)</f>
        <v>0</v>
      </c>
      <c r="AF530" s="35">
        <f>ROUND(IF(AQ530="2",BH530,0),2)</f>
        <v>0</v>
      </c>
      <c r="AG530" s="35">
        <f>ROUND(IF(AQ530="2",BI530,0),2)</f>
        <v>0</v>
      </c>
      <c r="AH530" s="35">
        <f>ROUND(IF(AQ530="0",BJ530,0),2)</f>
        <v>0</v>
      </c>
      <c r="AI530" s="46" t="s">
        <v>94</v>
      </c>
      <c r="AJ530" s="35">
        <f>IF(AN530=0,I530,0)</f>
        <v>0</v>
      </c>
      <c r="AK530" s="35">
        <f>IF(AN530=12,I530,0)</f>
        <v>0</v>
      </c>
      <c r="AL530" s="35">
        <f>IF(AN530=21,I530,0)</f>
        <v>0</v>
      </c>
      <c r="AN530" s="35">
        <v>21</v>
      </c>
      <c r="AO530" s="35">
        <f>H530*0</f>
        <v>0</v>
      </c>
      <c r="AP530" s="35">
        <f>H530*(1-0)</f>
        <v>0</v>
      </c>
      <c r="AQ530" s="62" t="s">
        <v>127</v>
      </c>
      <c r="AV530" s="35">
        <f>ROUND(AW530+AX530,2)</f>
        <v>0</v>
      </c>
      <c r="AW530" s="35">
        <f>ROUND(G530*AO530,2)</f>
        <v>0</v>
      </c>
      <c r="AX530" s="35">
        <f>ROUND(G530*AP530,2)</f>
        <v>0</v>
      </c>
      <c r="AY530" s="62" t="s">
        <v>522</v>
      </c>
      <c r="AZ530" s="62" t="s">
        <v>1096</v>
      </c>
      <c r="BA530" s="46" t="s">
        <v>868</v>
      </c>
      <c r="BC530" s="35">
        <f>AW530+AX530</f>
        <v>0</v>
      </c>
      <c r="BD530" s="35">
        <f>H530/(100-BE530)*100</f>
        <v>0</v>
      </c>
      <c r="BE530" s="35">
        <v>0</v>
      </c>
      <c r="BF530" s="35">
        <f>530</f>
        <v>530</v>
      </c>
      <c r="BH530" s="35">
        <f>G530*AO530</f>
        <v>0</v>
      </c>
      <c r="BI530" s="35">
        <f>G530*AP530</f>
        <v>0</v>
      </c>
      <c r="BJ530" s="35">
        <f>G530*H530</f>
        <v>0</v>
      </c>
      <c r="BK530" s="62" t="s">
        <v>135</v>
      </c>
      <c r="BL530" s="35">
        <v>96</v>
      </c>
      <c r="BW530" s="35">
        <v>21</v>
      </c>
      <c r="BX530" s="3" t="s">
        <v>1112</v>
      </c>
    </row>
    <row r="531" spans="1:76">
      <c r="A531" s="1" t="s">
        <v>1113</v>
      </c>
      <c r="B531" s="2" t="s">
        <v>94</v>
      </c>
      <c r="C531" s="2" t="s">
        <v>1114</v>
      </c>
      <c r="D531" s="92" t="s">
        <v>1115</v>
      </c>
      <c r="E531" s="87"/>
      <c r="F531" s="2" t="s">
        <v>282</v>
      </c>
      <c r="G531" s="35">
        <v>0.4</v>
      </c>
      <c r="H531" s="61">
        <v>0</v>
      </c>
      <c r="I531" s="35">
        <f>ROUND(G531*H531,2)</f>
        <v>0</v>
      </c>
      <c r="K531" s="51"/>
      <c r="Z531" s="35">
        <f>ROUND(IF(AQ531="5",BJ531,0),2)</f>
        <v>0</v>
      </c>
      <c r="AB531" s="35">
        <f>ROUND(IF(AQ531="1",BH531,0),2)</f>
        <v>0</v>
      </c>
      <c r="AC531" s="35">
        <f>ROUND(IF(AQ531="1",BI531,0),2)</f>
        <v>0</v>
      </c>
      <c r="AD531" s="35">
        <f>ROUND(IF(AQ531="7",BH531,0),2)</f>
        <v>0</v>
      </c>
      <c r="AE531" s="35">
        <f>ROUND(IF(AQ531="7",BI531,0),2)</f>
        <v>0</v>
      </c>
      <c r="AF531" s="35">
        <f>ROUND(IF(AQ531="2",BH531,0),2)</f>
        <v>0</v>
      </c>
      <c r="AG531" s="35">
        <f>ROUND(IF(AQ531="2",BI531,0),2)</f>
        <v>0</v>
      </c>
      <c r="AH531" s="35">
        <f>ROUND(IF(AQ531="0",BJ531,0),2)</f>
        <v>0</v>
      </c>
      <c r="AI531" s="46" t="s">
        <v>94</v>
      </c>
      <c r="AJ531" s="35">
        <f>IF(AN531=0,I531,0)</f>
        <v>0</v>
      </c>
      <c r="AK531" s="35">
        <f>IF(AN531=12,I531,0)</f>
        <v>0</v>
      </c>
      <c r="AL531" s="35">
        <f>IF(AN531=21,I531,0)</f>
        <v>0</v>
      </c>
      <c r="AN531" s="35">
        <v>21</v>
      </c>
      <c r="AO531" s="35">
        <f>H531*0</f>
        <v>0</v>
      </c>
      <c r="AP531" s="35">
        <f>H531*(1-0)</f>
        <v>0</v>
      </c>
      <c r="AQ531" s="62" t="s">
        <v>127</v>
      </c>
      <c r="AV531" s="35">
        <f>ROUND(AW531+AX531,2)</f>
        <v>0</v>
      </c>
      <c r="AW531" s="35">
        <f>ROUND(G531*AO531,2)</f>
        <v>0</v>
      </c>
      <c r="AX531" s="35">
        <f>ROUND(G531*AP531,2)</f>
        <v>0</v>
      </c>
      <c r="AY531" s="62" t="s">
        <v>522</v>
      </c>
      <c r="AZ531" s="62" t="s">
        <v>1096</v>
      </c>
      <c r="BA531" s="46" t="s">
        <v>868</v>
      </c>
      <c r="BC531" s="35">
        <f>AW531+AX531</f>
        <v>0</v>
      </c>
      <c r="BD531" s="35">
        <f>H531/(100-BE531)*100</f>
        <v>0</v>
      </c>
      <c r="BE531" s="35">
        <v>0</v>
      </c>
      <c r="BF531" s="35">
        <f>531</f>
        <v>531</v>
      </c>
      <c r="BH531" s="35">
        <f>G531*AO531</f>
        <v>0</v>
      </c>
      <c r="BI531" s="35">
        <f>G531*AP531</f>
        <v>0</v>
      </c>
      <c r="BJ531" s="35">
        <f>G531*H531</f>
        <v>0</v>
      </c>
      <c r="BK531" s="62" t="s">
        <v>135</v>
      </c>
      <c r="BL531" s="35">
        <v>96</v>
      </c>
      <c r="BW531" s="35">
        <v>21</v>
      </c>
      <c r="BX531" s="3" t="s">
        <v>1115</v>
      </c>
    </row>
    <row r="532" spans="1:76">
      <c r="A532" s="68"/>
      <c r="D532" s="69" t="s">
        <v>1116</v>
      </c>
      <c r="E532" s="70" t="s">
        <v>4</v>
      </c>
      <c r="G532" s="71">
        <v>0.4</v>
      </c>
      <c r="K532" s="51"/>
    </row>
    <row r="533" spans="1:76" ht="25.5">
      <c r="A533" s="1" t="s">
        <v>1117</v>
      </c>
      <c r="B533" s="2" t="s">
        <v>94</v>
      </c>
      <c r="C533" s="2" t="s">
        <v>1118</v>
      </c>
      <c r="D533" s="92" t="s">
        <v>1119</v>
      </c>
      <c r="E533" s="87"/>
      <c r="F533" s="2" t="s">
        <v>282</v>
      </c>
      <c r="G533" s="35">
        <v>0.04</v>
      </c>
      <c r="H533" s="61">
        <v>0</v>
      </c>
      <c r="I533" s="35">
        <f>ROUND(G533*H533,2)</f>
        <v>0</v>
      </c>
      <c r="K533" s="51"/>
      <c r="Z533" s="35">
        <f>ROUND(IF(AQ533="5",BJ533,0),2)</f>
        <v>0</v>
      </c>
      <c r="AB533" s="35">
        <f>ROUND(IF(AQ533="1",BH533,0),2)</f>
        <v>0</v>
      </c>
      <c r="AC533" s="35">
        <f>ROUND(IF(AQ533="1",BI533,0),2)</f>
        <v>0</v>
      </c>
      <c r="AD533" s="35">
        <f>ROUND(IF(AQ533="7",BH533,0),2)</f>
        <v>0</v>
      </c>
      <c r="AE533" s="35">
        <f>ROUND(IF(AQ533="7",BI533,0),2)</f>
        <v>0</v>
      </c>
      <c r="AF533" s="35">
        <f>ROUND(IF(AQ533="2",BH533,0),2)</f>
        <v>0</v>
      </c>
      <c r="AG533" s="35">
        <f>ROUND(IF(AQ533="2",BI533,0),2)</f>
        <v>0</v>
      </c>
      <c r="AH533" s="35">
        <f>ROUND(IF(AQ533="0",BJ533,0),2)</f>
        <v>0</v>
      </c>
      <c r="AI533" s="46" t="s">
        <v>94</v>
      </c>
      <c r="AJ533" s="35">
        <f>IF(AN533=0,I533,0)</f>
        <v>0</v>
      </c>
      <c r="AK533" s="35">
        <f>IF(AN533=12,I533,0)</f>
        <v>0</v>
      </c>
      <c r="AL533" s="35">
        <f>IF(AN533=21,I533,0)</f>
        <v>0</v>
      </c>
      <c r="AN533" s="35">
        <v>21</v>
      </c>
      <c r="AO533" s="35">
        <f>H533*0</f>
        <v>0</v>
      </c>
      <c r="AP533" s="35">
        <f>H533*(1-0)</f>
        <v>0</v>
      </c>
      <c r="AQ533" s="62" t="s">
        <v>127</v>
      </c>
      <c r="AV533" s="35">
        <f>ROUND(AW533+AX533,2)</f>
        <v>0</v>
      </c>
      <c r="AW533" s="35">
        <f>ROUND(G533*AO533,2)</f>
        <v>0</v>
      </c>
      <c r="AX533" s="35">
        <f>ROUND(G533*AP533,2)</f>
        <v>0</v>
      </c>
      <c r="AY533" s="62" t="s">
        <v>522</v>
      </c>
      <c r="AZ533" s="62" t="s">
        <v>1096</v>
      </c>
      <c r="BA533" s="46" t="s">
        <v>868</v>
      </c>
      <c r="BC533" s="35">
        <f>AW533+AX533</f>
        <v>0</v>
      </c>
      <c r="BD533" s="35">
        <f>H533/(100-BE533)*100</f>
        <v>0</v>
      </c>
      <c r="BE533" s="35">
        <v>0</v>
      </c>
      <c r="BF533" s="35">
        <f>533</f>
        <v>533</v>
      </c>
      <c r="BH533" s="35">
        <f>G533*AO533</f>
        <v>0</v>
      </c>
      <c r="BI533" s="35">
        <f>G533*AP533</f>
        <v>0</v>
      </c>
      <c r="BJ533" s="35">
        <f>G533*H533</f>
        <v>0</v>
      </c>
      <c r="BK533" s="62" t="s">
        <v>135</v>
      </c>
      <c r="BL533" s="35">
        <v>96</v>
      </c>
      <c r="BW533" s="35">
        <v>21</v>
      </c>
      <c r="BX533" s="3" t="s">
        <v>1119</v>
      </c>
    </row>
    <row r="534" spans="1:76">
      <c r="A534" s="68"/>
      <c r="D534" s="69" t="s">
        <v>1120</v>
      </c>
      <c r="E534" s="70" t="s">
        <v>4</v>
      </c>
      <c r="G534" s="71">
        <v>0.04</v>
      </c>
      <c r="K534" s="51"/>
    </row>
    <row r="535" spans="1:76" ht="25.5">
      <c r="A535" s="1" t="s">
        <v>1121</v>
      </c>
      <c r="B535" s="2" t="s">
        <v>94</v>
      </c>
      <c r="C535" s="2" t="s">
        <v>1122</v>
      </c>
      <c r="D535" s="92" t="s">
        <v>1123</v>
      </c>
      <c r="E535" s="87"/>
      <c r="F535" s="2" t="s">
        <v>321</v>
      </c>
      <c r="G535" s="35">
        <v>3</v>
      </c>
      <c r="H535" s="61">
        <v>0</v>
      </c>
      <c r="I535" s="35">
        <f>ROUND(G535*H535,2)</f>
        <v>0</v>
      </c>
      <c r="K535" s="51"/>
      <c r="Z535" s="35">
        <f>ROUND(IF(AQ535="5",BJ535,0),2)</f>
        <v>0</v>
      </c>
      <c r="AB535" s="35">
        <f>ROUND(IF(AQ535="1",BH535,0),2)</f>
        <v>0</v>
      </c>
      <c r="AC535" s="35">
        <f>ROUND(IF(AQ535="1",BI535,0),2)</f>
        <v>0</v>
      </c>
      <c r="AD535" s="35">
        <f>ROUND(IF(AQ535="7",BH535,0),2)</f>
        <v>0</v>
      </c>
      <c r="AE535" s="35">
        <f>ROUND(IF(AQ535="7",BI535,0),2)</f>
        <v>0</v>
      </c>
      <c r="AF535" s="35">
        <f>ROUND(IF(AQ535="2",BH535,0),2)</f>
        <v>0</v>
      </c>
      <c r="AG535" s="35">
        <f>ROUND(IF(AQ535="2",BI535,0),2)</f>
        <v>0</v>
      </c>
      <c r="AH535" s="35">
        <f>ROUND(IF(AQ535="0",BJ535,0),2)</f>
        <v>0</v>
      </c>
      <c r="AI535" s="46" t="s">
        <v>94</v>
      </c>
      <c r="AJ535" s="35">
        <f>IF(AN535=0,I535,0)</f>
        <v>0</v>
      </c>
      <c r="AK535" s="35">
        <f>IF(AN535=12,I535,0)</f>
        <v>0</v>
      </c>
      <c r="AL535" s="35">
        <f>IF(AN535=21,I535,0)</f>
        <v>0</v>
      </c>
      <c r="AN535" s="35">
        <v>21</v>
      </c>
      <c r="AO535" s="35">
        <f>H535*0</f>
        <v>0</v>
      </c>
      <c r="AP535" s="35">
        <f>H535*(1-0)</f>
        <v>0</v>
      </c>
      <c r="AQ535" s="62" t="s">
        <v>127</v>
      </c>
      <c r="AV535" s="35">
        <f>ROUND(AW535+AX535,2)</f>
        <v>0</v>
      </c>
      <c r="AW535" s="35">
        <f>ROUND(G535*AO535,2)</f>
        <v>0</v>
      </c>
      <c r="AX535" s="35">
        <f>ROUND(G535*AP535,2)</f>
        <v>0</v>
      </c>
      <c r="AY535" s="62" t="s">
        <v>522</v>
      </c>
      <c r="AZ535" s="62" t="s">
        <v>1096</v>
      </c>
      <c r="BA535" s="46" t="s">
        <v>868</v>
      </c>
      <c r="BC535" s="35">
        <f>AW535+AX535</f>
        <v>0</v>
      </c>
      <c r="BD535" s="35">
        <f>H535/(100-BE535)*100</f>
        <v>0</v>
      </c>
      <c r="BE535" s="35">
        <v>0</v>
      </c>
      <c r="BF535" s="35">
        <f>535</f>
        <v>535</v>
      </c>
      <c r="BH535" s="35">
        <f>G535*AO535</f>
        <v>0</v>
      </c>
      <c r="BI535" s="35">
        <f>G535*AP535</f>
        <v>0</v>
      </c>
      <c r="BJ535" s="35">
        <f>G535*H535</f>
        <v>0</v>
      </c>
      <c r="BK535" s="62" t="s">
        <v>135</v>
      </c>
      <c r="BL535" s="35">
        <v>96</v>
      </c>
      <c r="BW535" s="35">
        <v>21</v>
      </c>
      <c r="BX535" s="3" t="s">
        <v>1123</v>
      </c>
    </row>
    <row r="536" spans="1:76" ht="13.5" customHeight="1">
      <c r="A536" s="68"/>
      <c r="C536" s="72" t="s">
        <v>337</v>
      </c>
      <c r="D536" s="178" t="s">
        <v>1124</v>
      </c>
      <c r="E536" s="179"/>
      <c r="F536" s="179"/>
      <c r="G536" s="179"/>
      <c r="H536" s="180"/>
      <c r="I536" s="179"/>
      <c r="J536" s="179"/>
      <c r="K536" s="181"/>
    </row>
    <row r="537" spans="1:76">
      <c r="A537" s="57" t="s">
        <v>4</v>
      </c>
      <c r="B537" s="58" t="s">
        <v>94</v>
      </c>
      <c r="C537" s="58" t="s">
        <v>131</v>
      </c>
      <c r="D537" s="174" t="s">
        <v>557</v>
      </c>
      <c r="E537" s="175"/>
      <c r="F537" s="59" t="s">
        <v>79</v>
      </c>
      <c r="G537" s="59" t="s">
        <v>79</v>
      </c>
      <c r="H537" s="60" t="s">
        <v>79</v>
      </c>
      <c r="I537" s="40">
        <f>SUM(I538:I538)</f>
        <v>0</v>
      </c>
      <c r="K537" s="51"/>
      <c r="AI537" s="46" t="s">
        <v>94</v>
      </c>
      <c r="AS537" s="40">
        <f>SUM(AJ538:AJ538)</f>
        <v>0</v>
      </c>
      <c r="AT537" s="40">
        <f>SUM(AK538:AK538)</f>
        <v>0</v>
      </c>
      <c r="AU537" s="40">
        <f>SUM(AL538:AL538)</f>
        <v>0</v>
      </c>
    </row>
    <row r="538" spans="1:76">
      <c r="A538" s="1" t="s">
        <v>1125</v>
      </c>
      <c r="B538" s="2" t="s">
        <v>94</v>
      </c>
      <c r="C538" s="2" t="s">
        <v>1126</v>
      </c>
      <c r="D538" s="92" t="s">
        <v>1127</v>
      </c>
      <c r="E538" s="87"/>
      <c r="F538" s="2" t="s">
        <v>206</v>
      </c>
      <c r="G538" s="35">
        <v>18.114000000000001</v>
      </c>
      <c r="H538" s="61">
        <v>0</v>
      </c>
      <c r="I538" s="35">
        <f>ROUND(G538*H538,2)</f>
        <v>0</v>
      </c>
      <c r="K538" s="51"/>
      <c r="Z538" s="35">
        <f>ROUND(IF(AQ538="5",BJ538,0),2)</f>
        <v>0</v>
      </c>
      <c r="AB538" s="35">
        <f>ROUND(IF(AQ538="1",BH538,0),2)</f>
        <v>0</v>
      </c>
      <c r="AC538" s="35">
        <f>ROUND(IF(AQ538="1",BI538,0),2)</f>
        <v>0</v>
      </c>
      <c r="AD538" s="35">
        <f>ROUND(IF(AQ538="7",BH538,0),2)</f>
        <v>0</v>
      </c>
      <c r="AE538" s="35">
        <f>ROUND(IF(AQ538="7",BI538,0),2)</f>
        <v>0</v>
      </c>
      <c r="AF538" s="35">
        <f>ROUND(IF(AQ538="2",BH538,0),2)</f>
        <v>0</v>
      </c>
      <c r="AG538" s="35">
        <f>ROUND(IF(AQ538="2",BI538,0),2)</f>
        <v>0</v>
      </c>
      <c r="AH538" s="35">
        <f>ROUND(IF(AQ538="0",BJ538,0),2)</f>
        <v>0</v>
      </c>
      <c r="AI538" s="46" t="s">
        <v>94</v>
      </c>
      <c r="AJ538" s="35">
        <f>IF(AN538=0,I538,0)</f>
        <v>0</v>
      </c>
      <c r="AK538" s="35">
        <f>IF(AN538=12,I538,0)</f>
        <v>0</v>
      </c>
      <c r="AL538" s="35">
        <f>IF(AN538=21,I538,0)</f>
        <v>0</v>
      </c>
      <c r="AN538" s="35">
        <v>21</v>
      </c>
      <c r="AO538" s="35">
        <f>H538*0</f>
        <v>0</v>
      </c>
      <c r="AP538" s="35">
        <f>H538*(1-0)</f>
        <v>0</v>
      </c>
      <c r="AQ538" s="62" t="s">
        <v>145</v>
      </c>
      <c r="AV538" s="35">
        <f>ROUND(AW538+AX538,2)</f>
        <v>0</v>
      </c>
      <c r="AW538" s="35">
        <f>ROUND(G538*AO538,2)</f>
        <v>0</v>
      </c>
      <c r="AX538" s="35">
        <f>ROUND(G538*AP538,2)</f>
        <v>0</v>
      </c>
      <c r="AY538" s="62" t="s">
        <v>561</v>
      </c>
      <c r="AZ538" s="62" t="s">
        <v>1096</v>
      </c>
      <c r="BA538" s="46" t="s">
        <v>868</v>
      </c>
      <c r="BC538" s="35">
        <f>AW538+AX538</f>
        <v>0</v>
      </c>
      <c r="BD538" s="35">
        <f>H538/(100-BE538)*100</f>
        <v>0</v>
      </c>
      <c r="BE538" s="35">
        <v>0</v>
      </c>
      <c r="BF538" s="35">
        <f>538</f>
        <v>538</v>
      </c>
      <c r="BH538" s="35">
        <f>G538*AO538</f>
        <v>0</v>
      </c>
      <c r="BI538" s="35">
        <f>G538*AP538</f>
        <v>0</v>
      </c>
      <c r="BJ538" s="35">
        <f>G538*H538</f>
        <v>0</v>
      </c>
      <c r="BK538" s="62" t="s">
        <v>135</v>
      </c>
      <c r="BL538" s="35">
        <v>99</v>
      </c>
      <c r="BW538" s="35">
        <v>21</v>
      </c>
      <c r="BX538" s="3" t="s">
        <v>1127</v>
      </c>
    </row>
    <row r="539" spans="1:76" ht="27" customHeight="1">
      <c r="A539" s="68"/>
      <c r="C539" s="72" t="s">
        <v>337</v>
      </c>
      <c r="D539" s="178" t="s">
        <v>1128</v>
      </c>
      <c r="E539" s="179"/>
      <c r="F539" s="179"/>
      <c r="G539" s="179"/>
      <c r="H539" s="180"/>
      <c r="I539" s="179"/>
      <c r="J539" s="179"/>
      <c r="K539" s="181"/>
    </row>
    <row r="540" spans="1:76">
      <c r="A540" s="57" t="s">
        <v>4</v>
      </c>
      <c r="B540" s="58" t="s">
        <v>94</v>
      </c>
      <c r="C540" s="58" t="s">
        <v>1129</v>
      </c>
      <c r="D540" s="174" t="s">
        <v>1130</v>
      </c>
      <c r="E540" s="175"/>
      <c r="F540" s="59" t="s">
        <v>79</v>
      </c>
      <c r="G540" s="59" t="s">
        <v>79</v>
      </c>
      <c r="H540" s="60" t="s">
        <v>79</v>
      </c>
      <c r="I540" s="40">
        <f>SUM(I541:I547)</f>
        <v>0</v>
      </c>
      <c r="K540" s="51"/>
      <c r="AI540" s="46" t="s">
        <v>94</v>
      </c>
      <c r="AS540" s="40">
        <f>SUM(AJ541:AJ547)</f>
        <v>0</v>
      </c>
      <c r="AT540" s="40">
        <f>SUM(AK541:AK547)</f>
        <v>0</v>
      </c>
      <c r="AU540" s="40">
        <f>SUM(AL541:AL547)</f>
        <v>0</v>
      </c>
    </row>
    <row r="541" spans="1:76">
      <c r="A541" s="1" t="s">
        <v>1131</v>
      </c>
      <c r="B541" s="2" t="s">
        <v>94</v>
      </c>
      <c r="C541" s="2" t="s">
        <v>1132</v>
      </c>
      <c r="D541" s="92" t="s">
        <v>1133</v>
      </c>
      <c r="E541" s="87"/>
      <c r="F541" s="2" t="s">
        <v>206</v>
      </c>
      <c r="G541" s="35">
        <v>3.3439999999999999</v>
      </c>
      <c r="H541" s="61">
        <v>0</v>
      </c>
      <c r="I541" s="35">
        <f>ROUND(G541*H541,2)</f>
        <v>0</v>
      </c>
      <c r="K541" s="51"/>
      <c r="Z541" s="35">
        <f>ROUND(IF(AQ541="5",BJ541,0),2)</f>
        <v>0</v>
      </c>
      <c r="AB541" s="35">
        <f>ROUND(IF(AQ541="1",BH541,0),2)</f>
        <v>0</v>
      </c>
      <c r="AC541" s="35">
        <f>ROUND(IF(AQ541="1",BI541,0),2)</f>
        <v>0</v>
      </c>
      <c r="AD541" s="35">
        <f>ROUND(IF(AQ541="7",BH541,0),2)</f>
        <v>0</v>
      </c>
      <c r="AE541" s="35">
        <f>ROUND(IF(AQ541="7",BI541,0),2)</f>
        <v>0</v>
      </c>
      <c r="AF541" s="35">
        <f>ROUND(IF(AQ541="2",BH541,0),2)</f>
        <v>0</v>
      </c>
      <c r="AG541" s="35">
        <f>ROUND(IF(AQ541="2",BI541,0),2)</f>
        <v>0</v>
      </c>
      <c r="AH541" s="35">
        <f>ROUND(IF(AQ541="0",BJ541,0),2)</f>
        <v>0</v>
      </c>
      <c r="AI541" s="46" t="s">
        <v>94</v>
      </c>
      <c r="AJ541" s="35">
        <f>IF(AN541=0,I541,0)</f>
        <v>0</v>
      </c>
      <c r="AK541" s="35">
        <f>IF(AN541=12,I541,0)</f>
        <v>0</v>
      </c>
      <c r="AL541" s="35">
        <f>IF(AN541=21,I541,0)</f>
        <v>0</v>
      </c>
      <c r="AN541" s="35">
        <v>21</v>
      </c>
      <c r="AO541" s="35">
        <f>H541*0</f>
        <v>0</v>
      </c>
      <c r="AP541" s="35">
        <f>H541*(1-0)</f>
        <v>0</v>
      </c>
      <c r="AQ541" s="62" t="s">
        <v>145</v>
      </c>
      <c r="AV541" s="35">
        <f>ROUND(AW541+AX541,2)</f>
        <v>0</v>
      </c>
      <c r="AW541" s="35">
        <f>ROUND(G541*AO541,2)</f>
        <v>0</v>
      </c>
      <c r="AX541" s="35">
        <f>ROUND(G541*AP541,2)</f>
        <v>0</v>
      </c>
      <c r="AY541" s="62" t="s">
        <v>1134</v>
      </c>
      <c r="AZ541" s="62" t="s">
        <v>1096</v>
      </c>
      <c r="BA541" s="46" t="s">
        <v>868</v>
      </c>
      <c r="BC541" s="35">
        <f>AW541+AX541</f>
        <v>0</v>
      </c>
      <c r="BD541" s="35">
        <f>H541/(100-BE541)*100</f>
        <v>0</v>
      </c>
      <c r="BE541" s="35">
        <v>0</v>
      </c>
      <c r="BF541" s="35">
        <f>541</f>
        <v>541</v>
      </c>
      <c r="BH541" s="35">
        <f>G541*AO541</f>
        <v>0</v>
      </c>
      <c r="BI541" s="35">
        <f>G541*AP541</f>
        <v>0</v>
      </c>
      <c r="BJ541" s="35">
        <f>G541*H541</f>
        <v>0</v>
      </c>
      <c r="BK541" s="62" t="s">
        <v>135</v>
      </c>
      <c r="BL541" s="35"/>
      <c r="BW541" s="35">
        <v>21</v>
      </c>
      <c r="BX541" s="3" t="s">
        <v>1133</v>
      </c>
    </row>
    <row r="542" spans="1:76" ht="25.5">
      <c r="A542" s="1" t="s">
        <v>1135</v>
      </c>
      <c r="B542" s="2" t="s">
        <v>94</v>
      </c>
      <c r="C542" s="2" t="s">
        <v>1136</v>
      </c>
      <c r="D542" s="92" t="s">
        <v>1137</v>
      </c>
      <c r="E542" s="87"/>
      <c r="F542" s="2" t="s">
        <v>206</v>
      </c>
      <c r="G542" s="35">
        <v>0.625</v>
      </c>
      <c r="H542" s="61">
        <v>0</v>
      </c>
      <c r="I542" s="35">
        <f>ROUND(G542*H542,2)</f>
        <v>0</v>
      </c>
      <c r="K542" s="51"/>
      <c r="Z542" s="35">
        <f>ROUND(IF(AQ542="5",BJ542,0),2)</f>
        <v>0</v>
      </c>
      <c r="AB542" s="35">
        <f>ROUND(IF(AQ542="1",BH542,0),2)</f>
        <v>0</v>
      </c>
      <c r="AC542" s="35">
        <f>ROUND(IF(AQ542="1",BI542,0),2)</f>
        <v>0</v>
      </c>
      <c r="AD542" s="35">
        <f>ROUND(IF(AQ542="7",BH542,0),2)</f>
        <v>0</v>
      </c>
      <c r="AE542" s="35">
        <f>ROUND(IF(AQ542="7",BI542,0),2)</f>
        <v>0</v>
      </c>
      <c r="AF542" s="35">
        <f>ROUND(IF(AQ542="2",BH542,0),2)</f>
        <v>0</v>
      </c>
      <c r="AG542" s="35">
        <f>ROUND(IF(AQ542="2",BI542,0),2)</f>
        <v>0</v>
      </c>
      <c r="AH542" s="35">
        <f>ROUND(IF(AQ542="0",BJ542,0),2)</f>
        <v>0</v>
      </c>
      <c r="AI542" s="46" t="s">
        <v>94</v>
      </c>
      <c r="AJ542" s="35">
        <f>IF(AN542=0,I542,0)</f>
        <v>0</v>
      </c>
      <c r="AK542" s="35">
        <f>IF(AN542=12,I542,0)</f>
        <v>0</v>
      </c>
      <c r="AL542" s="35">
        <f>IF(AN542=21,I542,0)</f>
        <v>0</v>
      </c>
      <c r="AN542" s="35">
        <v>21</v>
      </c>
      <c r="AO542" s="35">
        <f>H542*0</f>
        <v>0</v>
      </c>
      <c r="AP542" s="35">
        <f>H542*(1-0)</f>
        <v>0</v>
      </c>
      <c r="AQ542" s="62" t="s">
        <v>145</v>
      </c>
      <c r="AV542" s="35">
        <f>ROUND(AW542+AX542,2)</f>
        <v>0</v>
      </c>
      <c r="AW542" s="35">
        <f>ROUND(G542*AO542,2)</f>
        <v>0</v>
      </c>
      <c r="AX542" s="35">
        <f>ROUND(G542*AP542,2)</f>
        <v>0</v>
      </c>
      <c r="AY542" s="62" t="s">
        <v>1134</v>
      </c>
      <c r="AZ542" s="62" t="s">
        <v>1096</v>
      </c>
      <c r="BA542" s="46" t="s">
        <v>868</v>
      </c>
      <c r="BC542" s="35">
        <f>AW542+AX542</f>
        <v>0</v>
      </c>
      <c r="BD542" s="35">
        <f>H542/(100-BE542)*100</f>
        <v>0</v>
      </c>
      <c r="BE542" s="35">
        <v>0</v>
      </c>
      <c r="BF542" s="35">
        <f>542</f>
        <v>542</v>
      </c>
      <c r="BH542" s="35">
        <f>G542*AO542</f>
        <v>0</v>
      </c>
      <c r="BI542" s="35">
        <f>G542*AP542</f>
        <v>0</v>
      </c>
      <c r="BJ542" s="35">
        <f>G542*H542</f>
        <v>0</v>
      </c>
      <c r="BK542" s="62" t="s">
        <v>135</v>
      </c>
      <c r="BL542" s="35"/>
      <c r="BW542" s="35">
        <v>21</v>
      </c>
      <c r="BX542" s="3" t="s">
        <v>1137</v>
      </c>
    </row>
    <row r="543" spans="1:76">
      <c r="A543" s="68"/>
      <c r="D543" s="69" t="s">
        <v>1138</v>
      </c>
      <c r="E543" s="70" t="s">
        <v>4</v>
      </c>
      <c r="G543" s="71">
        <v>0.62455000000000005</v>
      </c>
      <c r="K543" s="51"/>
    </row>
    <row r="544" spans="1:76">
      <c r="A544" s="1" t="s">
        <v>1139</v>
      </c>
      <c r="B544" s="2" t="s">
        <v>94</v>
      </c>
      <c r="C544" s="2" t="s">
        <v>542</v>
      </c>
      <c r="D544" s="92" t="s">
        <v>1140</v>
      </c>
      <c r="E544" s="87"/>
      <c r="F544" s="2" t="s">
        <v>206</v>
      </c>
      <c r="G544" s="35">
        <v>1.32</v>
      </c>
      <c r="H544" s="61">
        <v>0</v>
      </c>
      <c r="I544" s="35">
        <f>ROUND(G544*H544,2)</f>
        <v>0</v>
      </c>
      <c r="K544" s="51"/>
      <c r="Z544" s="35">
        <f>ROUND(IF(AQ544="5",BJ544,0),2)</f>
        <v>0</v>
      </c>
      <c r="AB544" s="35">
        <f>ROUND(IF(AQ544="1",BH544,0),2)</f>
        <v>0</v>
      </c>
      <c r="AC544" s="35">
        <f>ROUND(IF(AQ544="1",BI544,0),2)</f>
        <v>0</v>
      </c>
      <c r="AD544" s="35">
        <f>ROUND(IF(AQ544="7",BH544,0),2)</f>
        <v>0</v>
      </c>
      <c r="AE544" s="35">
        <f>ROUND(IF(AQ544="7",BI544,0),2)</f>
        <v>0</v>
      </c>
      <c r="AF544" s="35">
        <f>ROUND(IF(AQ544="2",BH544,0),2)</f>
        <v>0</v>
      </c>
      <c r="AG544" s="35">
        <f>ROUND(IF(AQ544="2",BI544,0),2)</f>
        <v>0</v>
      </c>
      <c r="AH544" s="35">
        <f>ROUND(IF(AQ544="0",BJ544,0),2)</f>
        <v>0</v>
      </c>
      <c r="AI544" s="46" t="s">
        <v>94</v>
      </c>
      <c r="AJ544" s="35">
        <f>IF(AN544=0,I544,0)</f>
        <v>0</v>
      </c>
      <c r="AK544" s="35">
        <f>IF(AN544=12,I544,0)</f>
        <v>0</v>
      </c>
      <c r="AL544" s="35">
        <f>IF(AN544=21,I544,0)</f>
        <v>0</v>
      </c>
      <c r="AN544" s="35">
        <v>21</v>
      </c>
      <c r="AO544" s="35">
        <f>H544*0</f>
        <v>0</v>
      </c>
      <c r="AP544" s="35">
        <f>H544*(1-0)</f>
        <v>0</v>
      </c>
      <c r="AQ544" s="62" t="s">
        <v>145</v>
      </c>
      <c r="AV544" s="35">
        <f>ROUND(AW544+AX544,2)</f>
        <v>0</v>
      </c>
      <c r="AW544" s="35">
        <f>ROUND(G544*AO544,2)</f>
        <v>0</v>
      </c>
      <c r="AX544" s="35">
        <f>ROUND(G544*AP544,2)</f>
        <v>0</v>
      </c>
      <c r="AY544" s="62" t="s">
        <v>1134</v>
      </c>
      <c r="AZ544" s="62" t="s">
        <v>1096</v>
      </c>
      <c r="BA544" s="46" t="s">
        <v>868</v>
      </c>
      <c r="BC544" s="35">
        <f>AW544+AX544</f>
        <v>0</v>
      </c>
      <c r="BD544" s="35">
        <f>H544/(100-BE544)*100</f>
        <v>0</v>
      </c>
      <c r="BE544" s="35">
        <v>0</v>
      </c>
      <c r="BF544" s="35">
        <f>544</f>
        <v>544</v>
      </c>
      <c r="BH544" s="35">
        <f>G544*AO544</f>
        <v>0</v>
      </c>
      <c r="BI544" s="35">
        <f>G544*AP544</f>
        <v>0</v>
      </c>
      <c r="BJ544" s="35">
        <f>G544*H544</f>
        <v>0</v>
      </c>
      <c r="BK544" s="62" t="s">
        <v>135</v>
      </c>
      <c r="BL544" s="35"/>
      <c r="BW544" s="35">
        <v>21</v>
      </c>
      <c r="BX544" s="3" t="s">
        <v>1140</v>
      </c>
    </row>
    <row r="545" spans="1:76" ht="25.5">
      <c r="A545" s="1" t="s">
        <v>1141</v>
      </c>
      <c r="B545" s="2" t="s">
        <v>94</v>
      </c>
      <c r="C545" s="2" t="s">
        <v>1142</v>
      </c>
      <c r="D545" s="92" t="s">
        <v>1143</v>
      </c>
      <c r="E545" s="87"/>
      <c r="F545" s="2" t="s">
        <v>206</v>
      </c>
      <c r="G545" s="35">
        <v>4.8540000000000001</v>
      </c>
      <c r="H545" s="61">
        <v>0</v>
      </c>
      <c r="I545" s="35">
        <f>ROUND(G545*H545,2)</f>
        <v>0</v>
      </c>
      <c r="K545" s="51"/>
      <c r="Z545" s="35">
        <f>ROUND(IF(AQ545="5",BJ545,0),2)</f>
        <v>0</v>
      </c>
      <c r="AB545" s="35">
        <f>ROUND(IF(AQ545="1",BH545,0),2)</f>
        <v>0</v>
      </c>
      <c r="AC545" s="35">
        <f>ROUND(IF(AQ545="1",BI545,0),2)</f>
        <v>0</v>
      </c>
      <c r="AD545" s="35">
        <f>ROUND(IF(AQ545="7",BH545,0),2)</f>
        <v>0</v>
      </c>
      <c r="AE545" s="35">
        <f>ROUND(IF(AQ545="7",BI545,0),2)</f>
        <v>0</v>
      </c>
      <c r="AF545" s="35">
        <f>ROUND(IF(AQ545="2",BH545,0),2)</f>
        <v>0</v>
      </c>
      <c r="AG545" s="35">
        <f>ROUND(IF(AQ545="2",BI545,0),2)</f>
        <v>0</v>
      </c>
      <c r="AH545" s="35">
        <f>ROUND(IF(AQ545="0",BJ545,0),2)</f>
        <v>0</v>
      </c>
      <c r="AI545" s="46" t="s">
        <v>94</v>
      </c>
      <c r="AJ545" s="35">
        <f>IF(AN545=0,I545,0)</f>
        <v>0</v>
      </c>
      <c r="AK545" s="35">
        <f>IF(AN545=12,I545,0)</f>
        <v>0</v>
      </c>
      <c r="AL545" s="35">
        <f>IF(AN545=21,I545,0)</f>
        <v>0</v>
      </c>
      <c r="AN545" s="35">
        <v>21</v>
      </c>
      <c r="AO545" s="35">
        <f>H545*0</f>
        <v>0</v>
      </c>
      <c r="AP545" s="35">
        <f>H545*(1-0)</f>
        <v>0</v>
      </c>
      <c r="AQ545" s="62" t="s">
        <v>145</v>
      </c>
      <c r="AV545" s="35">
        <f>ROUND(AW545+AX545,2)</f>
        <v>0</v>
      </c>
      <c r="AW545" s="35">
        <f>ROUND(G545*AO545,2)</f>
        <v>0</v>
      </c>
      <c r="AX545" s="35">
        <f>ROUND(G545*AP545,2)</f>
        <v>0</v>
      </c>
      <c r="AY545" s="62" t="s">
        <v>1134</v>
      </c>
      <c r="AZ545" s="62" t="s">
        <v>1096</v>
      </c>
      <c r="BA545" s="46" t="s">
        <v>868</v>
      </c>
      <c r="BC545" s="35">
        <f>AW545+AX545</f>
        <v>0</v>
      </c>
      <c r="BD545" s="35">
        <f>H545/(100-BE545)*100</f>
        <v>0</v>
      </c>
      <c r="BE545" s="35">
        <v>0</v>
      </c>
      <c r="BF545" s="35">
        <f>545</f>
        <v>545</v>
      </c>
      <c r="BH545" s="35">
        <f>G545*AO545</f>
        <v>0</v>
      </c>
      <c r="BI545" s="35">
        <f>G545*AP545</f>
        <v>0</v>
      </c>
      <c r="BJ545" s="35">
        <f>G545*H545</f>
        <v>0</v>
      </c>
      <c r="BK545" s="62" t="s">
        <v>135</v>
      </c>
      <c r="BL545" s="35"/>
      <c r="BW545" s="35">
        <v>21</v>
      </c>
      <c r="BX545" s="3" t="s">
        <v>1143</v>
      </c>
    </row>
    <row r="546" spans="1:76" ht="25.5">
      <c r="A546" s="1" t="s">
        <v>1144</v>
      </c>
      <c r="B546" s="2" t="s">
        <v>94</v>
      </c>
      <c r="C546" s="2" t="s">
        <v>1145</v>
      </c>
      <c r="D546" s="92" t="s">
        <v>1146</v>
      </c>
      <c r="E546" s="87"/>
      <c r="F546" s="2" t="s">
        <v>206</v>
      </c>
      <c r="G546" s="35">
        <v>19.417000000000002</v>
      </c>
      <c r="H546" s="61">
        <v>0</v>
      </c>
      <c r="I546" s="35">
        <f>ROUND(G546*H546,2)</f>
        <v>0</v>
      </c>
      <c r="K546" s="51"/>
      <c r="Z546" s="35">
        <f>ROUND(IF(AQ546="5",BJ546,0),2)</f>
        <v>0</v>
      </c>
      <c r="AB546" s="35">
        <f>ROUND(IF(AQ546="1",BH546,0),2)</f>
        <v>0</v>
      </c>
      <c r="AC546" s="35">
        <f>ROUND(IF(AQ546="1",BI546,0),2)</f>
        <v>0</v>
      </c>
      <c r="AD546" s="35">
        <f>ROUND(IF(AQ546="7",BH546,0),2)</f>
        <v>0</v>
      </c>
      <c r="AE546" s="35">
        <f>ROUND(IF(AQ546="7",BI546,0),2)</f>
        <v>0</v>
      </c>
      <c r="AF546" s="35">
        <f>ROUND(IF(AQ546="2",BH546,0),2)</f>
        <v>0</v>
      </c>
      <c r="AG546" s="35">
        <f>ROUND(IF(AQ546="2",BI546,0),2)</f>
        <v>0</v>
      </c>
      <c r="AH546" s="35">
        <f>ROUND(IF(AQ546="0",BJ546,0),2)</f>
        <v>0</v>
      </c>
      <c r="AI546" s="46" t="s">
        <v>94</v>
      </c>
      <c r="AJ546" s="35">
        <f>IF(AN546=0,I546,0)</f>
        <v>0</v>
      </c>
      <c r="AK546" s="35">
        <f>IF(AN546=12,I546,0)</f>
        <v>0</v>
      </c>
      <c r="AL546" s="35">
        <f>IF(AN546=21,I546,0)</f>
        <v>0</v>
      </c>
      <c r="AN546" s="35">
        <v>21</v>
      </c>
      <c r="AO546" s="35">
        <f>H546*0</f>
        <v>0</v>
      </c>
      <c r="AP546" s="35">
        <f>H546*(1-0)</f>
        <v>0</v>
      </c>
      <c r="AQ546" s="62" t="s">
        <v>145</v>
      </c>
      <c r="AV546" s="35">
        <f>ROUND(AW546+AX546,2)</f>
        <v>0</v>
      </c>
      <c r="AW546" s="35">
        <f>ROUND(G546*AO546,2)</f>
        <v>0</v>
      </c>
      <c r="AX546" s="35">
        <f>ROUND(G546*AP546,2)</f>
        <v>0</v>
      </c>
      <c r="AY546" s="62" t="s">
        <v>1134</v>
      </c>
      <c r="AZ546" s="62" t="s">
        <v>1096</v>
      </c>
      <c r="BA546" s="46" t="s">
        <v>868</v>
      </c>
      <c r="BC546" s="35">
        <f>AW546+AX546</f>
        <v>0</v>
      </c>
      <c r="BD546" s="35">
        <f>H546/(100-BE546)*100</f>
        <v>0</v>
      </c>
      <c r="BE546" s="35">
        <v>0</v>
      </c>
      <c r="BF546" s="35">
        <f>546</f>
        <v>546</v>
      </c>
      <c r="BH546" s="35">
        <f>G546*AO546</f>
        <v>0</v>
      </c>
      <c r="BI546" s="35">
        <f>G546*AP546</f>
        <v>0</v>
      </c>
      <c r="BJ546" s="35">
        <f>G546*H546</f>
        <v>0</v>
      </c>
      <c r="BK546" s="62" t="s">
        <v>135</v>
      </c>
      <c r="BL546" s="35"/>
      <c r="BW546" s="35">
        <v>21</v>
      </c>
      <c r="BX546" s="3" t="s">
        <v>1146</v>
      </c>
    </row>
    <row r="547" spans="1:76">
      <c r="A547" s="1" t="s">
        <v>1147</v>
      </c>
      <c r="B547" s="2" t="s">
        <v>94</v>
      </c>
      <c r="C547" s="2" t="s">
        <v>1148</v>
      </c>
      <c r="D547" s="92" t="s">
        <v>1149</v>
      </c>
      <c r="E547" s="87"/>
      <c r="F547" s="2" t="s">
        <v>206</v>
      </c>
      <c r="G547" s="35">
        <v>4.8540000000000001</v>
      </c>
      <c r="H547" s="61">
        <v>0</v>
      </c>
      <c r="I547" s="35">
        <f>ROUND(G547*H547,2)</f>
        <v>0</v>
      </c>
      <c r="K547" s="51"/>
      <c r="Z547" s="35">
        <f>ROUND(IF(AQ547="5",BJ547,0),2)</f>
        <v>0</v>
      </c>
      <c r="AB547" s="35">
        <f>ROUND(IF(AQ547="1",BH547,0),2)</f>
        <v>0</v>
      </c>
      <c r="AC547" s="35">
        <f>ROUND(IF(AQ547="1",BI547,0),2)</f>
        <v>0</v>
      </c>
      <c r="AD547" s="35">
        <f>ROUND(IF(AQ547="7",BH547,0),2)</f>
        <v>0</v>
      </c>
      <c r="AE547" s="35">
        <f>ROUND(IF(AQ547="7",BI547,0),2)</f>
        <v>0</v>
      </c>
      <c r="AF547" s="35">
        <f>ROUND(IF(AQ547="2",BH547,0),2)</f>
        <v>0</v>
      </c>
      <c r="AG547" s="35">
        <f>ROUND(IF(AQ547="2",BI547,0),2)</f>
        <v>0</v>
      </c>
      <c r="AH547" s="35">
        <f>ROUND(IF(AQ547="0",BJ547,0),2)</f>
        <v>0</v>
      </c>
      <c r="AI547" s="46" t="s">
        <v>94</v>
      </c>
      <c r="AJ547" s="35">
        <f>IF(AN547=0,I547,0)</f>
        <v>0</v>
      </c>
      <c r="AK547" s="35">
        <f>IF(AN547=12,I547,0)</f>
        <v>0</v>
      </c>
      <c r="AL547" s="35">
        <f>IF(AN547=21,I547,0)</f>
        <v>0</v>
      </c>
      <c r="AN547" s="35">
        <v>21</v>
      </c>
      <c r="AO547" s="35">
        <f>H547*0</f>
        <v>0</v>
      </c>
      <c r="AP547" s="35">
        <f>H547*(1-0)</f>
        <v>0</v>
      </c>
      <c r="AQ547" s="62" t="s">
        <v>145</v>
      </c>
      <c r="AV547" s="35">
        <f>ROUND(AW547+AX547,2)</f>
        <v>0</v>
      </c>
      <c r="AW547" s="35">
        <f>ROUND(G547*AO547,2)</f>
        <v>0</v>
      </c>
      <c r="AX547" s="35">
        <f>ROUND(G547*AP547,2)</f>
        <v>0</v>
      </c>
      <c r="AY547" s="62" t="s">
        <v>1134</v>
      </c>
      <c r="AZ547" s="62" t="s">
        <v>1096</v>
      </c>
      <c r="BA547" s="46" t="s">
        <v>868</v>
      </c>
      <c r="BC547" s="35">
        <f>AW547+AX547</f>
        <v>0</v>
      </c>
      <c r="BD547" s="35">
        <f>H547/(100-BE547)*100</f>
        <v>0</v>
      </c>
      <c r="BE547" s="35">
        <v>0</v>
      </c>
      <c r="BF547" s="35">
        <f>547</f>
        <v>547</v>
      </c>
      <c r="BH547" s="35">
        <f>G547*AO547</f>
        <v>0</v>
      </c>
      <c r="BI547" s="35">
        <f>G547*AP547</f>
        <v>0</v>
      </c>
      <c r="BJ547" s="35">
        <f>G547*H547</f>
        <v>0</v>
      </c>
      <c r="BK547" s="62" t="s">
        <v>135</v>
      </c>
      <c r="BL547" s="35"/>
      <c r="BW547" s="35">
        <v>21</v>
      </c>
      <c r="BX547" s="3" t="s">
        <v>1149</v>
      </c>
    </row>
    <row r="548" spans="1:76">
      <c r="A548" s="57" t="s">
        <v>4</v>
      </c>
      <c r="B548" s="58" t="s">
        <v>94</v>
      </c>
      <c r="C548" s="58" t="s">
        <v>1150</v>
      </c>
      <c r="D548" s="174" t="s">
        <v>1151</v>
      </c>
      <c r="E548" s="175"/>
      <c r="F548" s="59" t="s">
        <v>79</v>
      </c>
      <c r="G548" s="59" t="s">
        <v>79</v>
      </c>
      <c r="H548" s="60" t="s">
        <v>79</v>
      </c>
      <c r="I548" s="40">
        <f>SUM(I549:I553)</f>
        <v>0</v>
      </c>
      <c r="K548" s="51"/>
      <c r="AI548" s="46" t="s">
        <v>94</v>
      </c>
      <c r="AS548" s="40">
        <f>SUM(AJ549:AJ553)</f>
        <v>0</v>
      </c>
      <c r="AT548" s="40">
        <f>SUM(AK549:AK553)</f>
        <v>0</v>
      </c>
      <c r="AU548" s="40">
        <f>SUM(AL549:AL553)</f>
        <v>0</v>
      </c>
    </row>
    <row r="549" spans="1:76">
      <c r="A549" s="1" t="s">
        <v>1152</v>
      </c>
      <c r="B549" s="2" t="s">
        <v>94</v>
      </c>
      <c r="C549" s="2" t="s">
        <v>1153</v>
      </c>
      <c r="D549" s="92" t="s">
        <v>1154</v>
      </c>
      <c r="E549" s="87"/>
      <c r="F549" s="2" t="s">
        <v>282</v>
      </c>
      <c r="G549" s="35">
        <v>2</v>
      </c>
      <c r="H549" s="61">
        <v>0</v>
      </c>
      <c r="I549" s="35">
        <f>ROUND(G549*H549,2)</f>
        <v>0</v>
      </c>
      <c r="K549" s="51"/>
      <c r="Z549" s="35">
        <f>ROUND(IF(AQ549="5",BJ549,0),2)</f>
        <v>0</v>
      </c>
      <c r="AB549" s="35">
        <f>ROUND(IF(AQ549="1",BH549,0),2)</f>
        <v>0</v>
      </c>
      <c r="AC549" s="35">
        <f>ROUND(IF(AQ549="1",BI549,0),2)</f>
        <v>0</v>
      </c>
      <c r="AD549" s="35">
        <f>ROUND(IF(AQ549="7",BH549,0),2)</f>
        <v>0</v>
      </c>
      <c r="AE549" s="35">
        <f>ROUND(IF(AQ549="7",BI549,0),2)</f>
        <v>0</v>
      </c>
      <c r="AF549" s="35">
        <f>ROUND(IF(AQ549="2",BH549,0),2)</f>
        <v>0</v>
      </c>
      <c r="AG549" s="35">
        <f>ROUND(IF(AQ549="2",BI549,0),2)</f>
        <v>0</v>
      </c>
      <c r="AH549" s="35">
        <f>ROUND(IF(AQ549="0",BJ549,0),2)</f>
        <v>0</v>
      </c>
      <c r="AI549" s="46" t="s">
        <v>94</v>
      </c>
      <c r="AJ549" s="35">
        <f>IF(AN549=0,I549,0)</f>
        <v>0</v>
      </c>
      <c r="AK549" s="35">
        <f>IF(AN549=12,I549,0)</f>
        <v>0</v>
      </c>
      <c r="AL549" s="35">
        <f>IF(AN549=21,I549,0)</f>
        <v>0</v>
      </c>
      <c r="AN549" s="35">
        <v>21</v>
      </c>
      <c r="AO549" s="35">
        <f>H549*0</f>
        <v>0</v>
      </c>
      <c r="AP549" s="35">
        <f>H549*(1-0)</f>
        <v>0</v>
      </c>
      <c r="AQ549" s="62" t="s">
        <v>151</v>
      </c>
      <c r="AV549" s="35">
        <f>ROUND(AW549+AX549,2)</f>
        <v>0</v>
      </c>
      <c r="AW549" s="35">
        <f>ROUND(G549*AO549,2)</f>
        <v>0</v>
      </c>
      <c r="AX549" s="35">
        <f>ROUND(G549*AP549,2)</f>
        <v>0</v>
      </c>
      <c r="AY549" s="62" t="s">
        <v>1155</v>
      </c>
      <c r="AZ549" s="62" t="s">
        <v>1156</v>
      </c>
      <c r="BA549" s="46" t="s">
        <v>868</v>
      </c>
      <c r="BC549" s="35">
        <f>AW549+AX549</f>
        <v>0</v>
      </c>
      <c r="BD549" s="35">
        <f>H549/(100-BE549)*100</f>
        <v>0</v>
      </c>
      <c r="BE549" s="35">
        <v>0</v>
      </c>
      <c r="BF549" s="35">
        <f>549</f>
        <v>549</v>
      </c>
      <c r="BH549" s="35">
        <f>G549*AO549</f>
        <v>0</v>
      </c>
      <c r="BI549" s="35">
        <f>G549*AP549</f>
        <v>0</v>
      </c>
      <c r="BJ549" s="35">
        <f>G549*H549</f>
        <v>0</v>
      </c>
      <c r="BK549" s="62" t="s">
        <v>135</v>
      </c>
      <c r="BL549" s="35">
        <v>721</v>
      </c>
      <c r="BW549" s="35">
        <v>21</v>
      </c>
      <c r="BX549" s="3" t="s">
        <v>1154</v>
      </c>
    </row>
    <row r="550" spans="1:76" ht="13.5" customHeight="1">
      <c r="A550" s="68"/>
      <c r="C550" s="72" t="s">
        <v>337</v>
      </c>
      <c r="D550" s="178" t="s">
        <v>1157</v>
      </c>
      <c r="E550" s="179"/>
      <c r="F550" s="179"/>
      <c r="G550" s="179"/>
      <c r="H550" s="180"/>
      <c r="I550" s="179"/>
      <c r="J550" s="179"/>
      <c r="K550" s="181"/>
    </row>
    <row r="551" spans="1:76">
      <c r="A551" s="1" t="s">
        <v>1158</v>
      </c>
      <c r="B551" s="2" t="s">
        <v>94</v>
      </c>
      <c r="C551" s="2" t="s">
        <v>1159</v>
      </c>
      <c r="D551" s="92" t="s">
        <v>1160</v>
      </c>
      <c r="E551" s="87"/>
      <c r="F551" s="2" t="s">
        <v>206</v>
      </c>
      <c r="G551" s="35">
        <v>5.0000000000000001E-3</v>
      </c>
      <c r="H551" s="61">
        <v>0</v>
      </c>
      <c r="I551" s="35">
        <f>ROUND(G551*H551,2)</f>
        <v>0</v>
      </c>
      <c r="K551" s="51"/>
      <c r="Z551" s="35">
        <f>ROUND(IF(AQ551="5",BJ551,0),2)</f>
        <v>0</v>
      </c>
      <c r="AB551" s="35">
        <f>ROUND(IF(AQ551="1",BH551,0),2)</f>
        <v>0</v>
      </c>
      <c r="AC551" s="35">
        <f>ROUND(IF(AQ551="1",BI551,0),2)</f>
        <v>0</v>
      </c>
      <c r="AD551" s="35">
        <f>ROUND(IF(AQ551="7",BH551,0),2)</f>
        <v>0</v>
      </c>
      <c r="AE551" s="35">
        <f>ROUND(IF(AQ551="7",BI551,0),2)</f>
        <v>0</v>
      </c>
      <c r="AF551" s="35">
        <f>ROUND(IF(AQ551="2",BH551,0),2)</f>
        <v>0</v>
      </c>
      <c r="AG551" s="35">
        <f>ROUND(IF(AQ551="2",BI551,0),2)</f>
        <v>0</v>
      </c>
      <c r="AH551" s="35">
        <f>ROUND(IF(AQ551="0",BJ551,0),2)</f>
        <v>0</v>
      </c>
      <c r="AI551" s="46" t="s">
        <v>94</v>
      </c>
      <c r="AJ551" s="35">
        <f>IF(AN551=0,I551,0)</f>
        <v>0</v>
      </c>
      <c r="AK551" s="35">
        <f>IF(AN551=12,I551,0)</f>
        <v>0</v>
      </c>
      <c r="AL551" s="35">
        <f>IF(AN551=21,I551,0)</f>
        <v>0</v>
      </c>
      <c r="AN551" s="35">
        <v>21</v>
      </c>
      <c r="AO551" s="35">
        <f>H551*0</f>
        <v>0</v>
      </c>
      <c r="AP551" s="35">
        <f>H551*(1-0)</f>
        <v>0</v>
      </c>
      <c r="AQ551" s="62" t="s">
        <v>151</v>
      </c>
      <c r="AV551" s="35">
        <f>ROUND(AW551+AX551,2)</f>
        <v>0</v>
      </c>
      <c r="AW551" s="35">
        <f>ROUND(G551*AO551,2)</f>
        <v>0</v>
      </c>
      <c r="AX551" s="35">
        <f>ROUND(G551*AP551,2)</f>
        <v>0</v>
      </c>
      <c r="AY551" s="62" t="s">
        <v>1155</v>
      </c>
      <c r="AZ551" s="62" t="s">
        <v>1156</v>
      </c>
      <c r="BA551" s="46" t="s">
        <v>868</v>
      </c>
      <c r="BC551" s="35">
        <f>AW551+AX551</f>
        <v>0</v>
      </c>
      <c r="BD551" s="35">
        <f>H551/(100-BE551)*100</f>
        <v>0</v>
      </c>
      <c r="BE551" s="35">
        <v>0</v>
      </c>
      <c r="BF551" s="35">
        <f>551</f>
        <v>551</v>
      </c>
      <c r="BH551" s="35">
        <f>G551*AO551</f>
        <v>0</v>
      </c>
      <c r="BI551" s="35">
        <f>G551*AP551</f>
        <v>0</v>
      </c>
      <c r="BJ551" s="35">
        <f>G551*H551</f>
        <v>0</v>
      </c>
      <c r="BK551" s="62" t="s">
        <v>135</v>
      </c>
      <c r="BL551" s="35">
        <v>721</v>
      </c>
      <c r="BW551" s="35">
        <v>21</v>
      </c>
      <c r="BX551" s="3" t="s">
        <v>1160</v>
      </c>
    </row>
    <row r="552" spans="1:76" ht="13.5" customHeight="1">
      <c r="A552" s="68"/>
      <c r="C552" s="72" t="s">
        <v>337</v>
      </c>
      <c r="D552" s="178" t="s">
        <v>1161</v>
      </c>
      <c r="E552" s="179"/>
      <c r="F552" s="179"/>
      <c r="G552" s="179"/>
      <c r="H552" s="180"/>
      <c r="I552" s="179"/>
      <c r="J552" s="179"/>
      <c r="K552" s="181"/>
    </row>
    <row r="553" spans="1:76">
      <c r="A553" s="1" t="s">
        <v>1162</v>
      </c>
      <c r="B553" s="2" t="s">
        <v>94</v>
      </c>
      <c r="C553" s="2" t="s">
        <v>1163</v>
      </c>
      <c r="D553" s="92" t="s">
        <v>1164</v>
      </c>
      <c r="E553" s="87"/>
      <c r="F553" s="2" t="s">
        <v>61</v>
      </c>
      <c r="G553" s="35">
        <v>1.395</v>
      </c>
      <c r="H553" s="61">
        <v>0</v>
      </c>
      <c r="I553" s="35">
        <f>ROUND(G553*H553,2)</f>
        <v>0</v>
      </c>
      <c r="K553" s="51"/>
      <c r="Z553" s="35">
        <f>ROUND(IF(AQ553="5",BJ553,0),2)</f>
        <v>0</v>
      </c>
      <c r="AB553" s="35">
        <f>ROUND(IF(AQ553="1",BH553,0),2)</f>
        <v>0</v>
      </c>
      <c r="AC553" s="35">
        <f>ROUND(IF(AQ553="1",BI553,0),2)</f>
        <v>0</v>
      </c>
      <c r="AD553" s="35">
        <f>ROUND(IF(AQ553="7",BH553,0),2)</f>
        <v>0</v>
      </c>
      <c r="AE553" s="35">
        <f>ROUND(IF(AQ553="7",BI553,0),2)</f>
        <v>0</v>
      </c>
      <c r="AF553" s="35">
        <f>ROUND(IF(AQ553="2",BH553,0),2)</f>
        <v>0</v>
      </c>
      <c r="AG553" s="35">
        <f>ROUND(IF(AQ553="2",BI553,0),2)</f>
        <v>0</v>
      </c>
      <c r="AH553" s="35">
        <f>ROUND(IF(AQ553="0",BJ553,0),2)</f>
        <v>0</v>
      </c>
      <c r="AI553" s="46" t="s">
        <v>94</v>
      </c>
      <c r="AJ553" s="35">
        <f>IF(AN553=0,I553,0)</f>
        <v>0</v>
      </c>
      <c r="AK553" s="35">
        <f>IF(AN553=12,I553,0)</f>
        <v>0</v>
      </c>
      <c r="AL553" s="35">
        <f>IF(AN553=21,I553,0)</f>
        <v>0</v>
      </c>
      <c r="AN553" s="35">
        <v>21</v>
      </c>
      <c r="AO553" s="35">
        <f>H553*0</f>
        <v>0</v>
      </c>
      <c r="AP553" s="35">
        <f>H553*(1-0)</f>
        <v>0</v>
      </c>
      <c r="AQ553" s="62" t="s">
        <v>145</v>
      </c>
      <c r="AV553" s="35">
        <f>ROUND(AW553+AX553,2)</f>
        <v>0</v>
      </c>
      <c r="AW553" s="35">
        <f>ROUND(G553*AO553,2)</f>
        <v>0</v>
      </c>
      <c r="AX553" s="35">
        <f>ROUND(G553*AP553,2)</f>
        <v>0</v>
      </c>
      <c r="AY553" s="62" t="s">
        <v>1155</v>
      </c>
      <c r="AZ553" s="62" t="s">
        <v>1156</v>
      </c>
      <c r="BA553" s="46" t="s">
        <v>868</v>
      </c>
      <c r="BC553" s="35">
        <f>AW553+AX553</f>
        <v>0</v>
      </c>
      <c r="BD553" s="35">
        <f>H553/(100-BE553)*100</f>
        <v>0</v>
      </c>
      <c r="BE553" s="35">
        <v>0</v>
      </c>
      <c r="BF553" s="35">
        <f>553</f>
        <v>553</v>
      </c>
      <c r="BH553" s="35">
        <f>G553*AO553</f>
        <v>0</v>
      </c>
      <c r="BI553" s="35">
        <f>G553*AP553</f>
        <v>0</v>
      </c>
      <c r="BJ553" s="35">
        <f>G553*H553</f>
        <v>0</v>
      </c>
      <c r="BK553" s="62" t="s">
        <v>135</v>
      </c>
      <c r="BL553" s="35">
        <v>721</v>
      </c>
      <c r="BW553" s="35">
        <v>21</v>
      </c>
      <c r="BX553" s="3" t="s">
        <v>1164</v>
      </c>
    </row>
    <row r="554" spans="1:76">
      <c r="A554" s="63" t="s">
        <v>4</v>
      </c>
      <c r="B554" s="64" t="s">
        <v>96</v>
      </c>
      <c r="C554" s="64" t="s">
        <v>4</v>
      </c>
      <c r="D554" s="176" t="s">
        <v>97</v>
      </c>
      <c r="E554" s="177"/>
      <c r="F554" s="65" t="s">
        <v>79</v>
      </c>
      <c r="G554" s="65" t="s">
        <v>79</v>
      </c>
      <c r="H554" s="66" t="s">
        <v>79</v>
      </c>
      <c r="I554" s="67">
        <f>I555+I572+I576+I578+I606</f>
        <v>0</v>
      </c>
      <c r="K554" s="51"/>
    </row>
    <row r="555" spans="1:76">
      <c r="A555" s="57" t="s">
        <v>4</v>
      </c>
      <c r="B555" s="58" t="s">
        <v>96</v>
      </c>
      <c r="C555" s="58" t="s">
        <v>1165</v>
      </c>
      <c r="D555" s="174" t="s">
        <v>1166</v>
      </c>
      <c r="E555" s="175"/>
      <c r="F555" s="59" t="s">
        <v>79</v>
      </c>
      <c r="G555" s="59" t="s">
        <v>79</v>
      </c>
      <c r="H555" s="60" t="s">
        <v>79</v>
      </c>
      <c r="I555" s="40">
        <f>SUM(I556:I571)</f>
        <v>0</v>
      </c>
      <c r="K555" s="51"/>
      <c r="AI555" s="46" t="s">
        <v>96</v>
      </c>
      <c r="AS555" s="40">
        <f>SUM(AJ556:AJ571)</f>
        <v>0</v>
      </c>
      <c r="AT555" s="40">
        <f>SUM(AK556:AK571)</f>
        <v>0</v>
      </c>
      <c r="AU555" s="40">
        <f>SUM(AL556:AL571)</f>
        <v>0</v>
      </c>
    </row>
    <row r="556" spans="1:76">
      <c r="A556" s="1" t="s">
        <v>1167</v>
      </c>
      <c r="B556" s="2" t="s">
        <v>96</v>
      </c>
      <c r="C556" s="2" t="s">
        <v>1168</v>
      </c>
      <c r="D556" s="92" t="s">
        <v>1169</v>
      </c>
      <c r="E556" s="87"/>
      <c r="F556" s="2" t="s">
        <v>1170</v>
      </c>
      <c r="G556" s="35">
        <v>21</v>
      </c>
      <c r="H556" s="61">
        <v>0</v>
      </c>
      <c r="I556" s="35">
        <f t="shared" ref="I556:I571" si="63">ROUND(G556*H556,2)</f>
        <v>0</v>
      </c>
      <c r="K556" s="51"/>
      <c r="Z556" s="35">
        <f t="shared" ref="Z556:Z571" si="64">ROUND(IF(AQ556="5",BJ556,0),2)</f>
        <v>0</v>
      </c>
      <c r="AB556" s="35">
        <f t="shared" ref="AB556:AB571" si="65">ROUND(IF(AQ556="1",BH556,0),2)</f>
        <v>0</v>
      </c>
      <c r="AC556" s="35">
        <f t="shared" ref="AC556:AC571" si="66">ROUND(IF(AQ556="1",BI556,0),2)</f>
        <v>0</v>
      </c>
      <c r="AD556" s="35">
        <f t="shared" ref="AD556:AD571" si="67">ROUND(IF(AQ556="7",BH556,0),2)</f>
        <v>0</v>
      </c>
      <c r="AE556" s="35">
        <f t="shared" ref="AE556:AE571" si="68">ROUND(IF(AQ556="7",BI556,0),2)</f>
        <v>0</v>
      </c>
      <c r="AF556" s="35">
        <f t="shared" ref="AF556:AF571" si="69">ROUND(IF(AQ556="2",BH556,0),2)</f>
        <v>0</v>
      </c>
      <c r="AG556" s="35">
        <f t="shared" ref="AG556:AG571" si="70">ROUND(IF(AQ556="2",BI556,0),2)</f>
        <v>0</v>
      </c>
      <c r="AH556" s="35">
        <f t="shared" ref="AH556:AH571" si="71">ROUND(IF(AQ556="0",BJ556,0),2)</f>
        <v>0</v>
      </c>
      <c r="AI556" s="46" t="s">
        <v>96</v>
      </c>
      <c r="AJ556" s="35">
        <f t="shared" ref="AJ556:AJ571" si="72">IF(AN556=0,I556,0)</f>
        <v>0</v>
      </c>
      <c r="AK556" s="35">
        <f t="shared" ref="AK556:AK571" si="73">IF(AN556=12,I556,0)</f>
        <v>0</v>
      </c>
      <c r="AL556" s="35">
        <f t="shared" ref="AL556:AL571" si="74">IF(AN556=21,I556,0)</f>
        <v>0</v>
      </c>
      <c r="AN556" s="35">
        <v>21</v>
      </c>
      <c r="AO556" s="35">
        <f>H556*1</f>
        <v>0</v>
      </c>
      <c r="AP556" s="35">
        <f>H556*(1-1)</f>
        <v>0</v>
      </c>
      <c r="AQ556" s="62" t="s">
        <v>127</v>
      </c>
      <c r="AV556" s="35">
        <f t="shared" ref="AV556:AV571" si="75">ROUND(AW556+AX556,2)</f>
        <v>0</v>
      </c>
      <c r="AW556" s="35">
        <f t="shared" ref="AW556:AW571" si="76">ROUND(G556*AO556,2)</f>
        <v>0</v>
      </c>
      <c r="AX556" s="35">
        <f t="shared" ref="AX556:AX571" si="77">ROUND(G556*AP556,2)</f>
        <v>0</v>
      </c>
      <c r="AY556" s="62" t="s">
        <v>1171</v>
      </c>
      <c r="AZ556" s="62" t="s">
        <v>1172</v>
      </c>
      <c r="BA556" s="46" t="s">
        <v>1173</v>
      </c>
      <c r="BC556" s="35">
        <f t="shared" ref="BC556:BC571" si="78">AW556+AX556</f>
        <v>0</v>
      </c>
      <c r="BD556" s="35">
        <f t="shared" ref="BD556:BD571" si="79">H556/(100-BE556)*100</f>
        <v>0</v>
      </c>
      <c r="BE556" s="35">
        <v>0</v>
      </c>
      <c r="BF556" s="35">
        <f>556</f>
        <v>556</v>
      </c>
      <c r="BH556" s="35">
        <f t="shared" ref="BH556:BH571" si="80">G556*AO556</f>
        <v>0</v>
      </c>
      <c r="BI556" s="35">
        <f t="shared" ref="BI556:BI571" si="81">G556*AP556</f>
        <v>0</v>
      </c>
      <c r="BJ556" s="35">
        <f t="shared" ref="BJ556:BJ571" si="82">G556*H556</f>
        <v>0</v>
      </c>
      <c r="BK556" s="62" t="s">
        <v>277</v>
      </c>
      <c r="BL556" s="35"/>
      <c r="BW556" s="35">
        <v>21</v>
      </c>
      <c r="BX556" s="3" t="s">
        <v>1169</v>
      </c>
    </row>
    <row r="557" spans="1:76">
      <c r="A557" s="1" t="s">
        <v>1174</v>
      </c>
      <c r="B557" s="2" t="s">
        <v>96</v>
      </c>
      <c r="C557" s="2" t="s">
        <v>1175</v>
      </c>
      <c r="D557" s="92" t="s">
        <v>1176</v>
      </c>
      <c r="E557" s="87"/>
      <c r="F557" s="2" t="s">
        <v>277</v>
      </c>
      <c r="G557" s="35">
        <v>210</v>
      </c>
      <c r="H557" s="61">
        <v>0</v>
      </c>
      <c r="I557" s="35">
        <f t="shared" si="63"/>
        <v>0</v>
      </c>
      <c r="K557" s="51"/>
      <c r="Z557" s="35">
        <f t="shared" si="64"/>
        <v>0</v>
      </c>
      <c r="AB557" s="35">
        <f t="shared" si="65"/>
        <v>0</v>
      </c>
      <c r="AC557" s="35">
        <f t="shared" si="66"/>
        <v>0</v>
      </c>
      <c r="AD557" s="35">
        <f t="shared" si="67"/>
        <v>0</v>
      </c>
      <c r="AE557" s="35">
        <f t="shared" si="68"/>
        <v>0</v>
      </c>
      <c r="AF557" s="35">
        <f t="shared" si="69"/>
        <v>0</v>
      </c>
      <c r="AG557" s="35">
        <f t="shared" si="70"/>
        <v>0</v>
      </c>
      <c r="AH557" s="35">
        <f t="shared" si="71"/>
        <v>0</v>
      </c>
      <c r="AI557" s="46" t="s">
        <v>96</v>
      </c>
      <c r="AJ557" s="35">
        <f t="shared" si="72"/>
        <v>0</v>
      </c>
      <c r="AK557" s="35">
        <f t="shared" si="73"/>
        <v>0</v>
      </c>
      <c r="AL557" s="35">
        <f t="shared" si="74"/>
        <v>0</v>
      </c>
      <c r="AN557" s="35">
        <v>21</v>
      </c>
      <c r="AO557" s="35">
        <f>H557*1</f>
        <v>0</v>
      </c>
      <c r="AP557" s="35">
        <f>H557*(1-1)</f>
        <v>0</v>
      </c>
      <c r="AQ557" s="62" t="s">
        <v>127</v>
      </c>
      <c r="AV557" s="35">
        <f t="shared" si="75"/>
        <v>0</v>
      </c>
      <c r="AW557" s="35">
        <f t="shared" si="76"/>
        <v>0</v>
      </c>
      <c r="AX557" s="35">
        <f t="shared" si="77"/>
        <v>0</v>
      </c>
      <c r="AY557" s="62" t="s">
        <v>1171</v>
      </c>
      <c r="AZ557" s="62" t="s">
        <v>1172</v>
      </c>
      <c r="BA557" s="46" t="s">
        <v>1173</v>
      </c>
      <c r="BC557" s="35">
        <f t="shared" si="78"/>
        <v>0</v>
      </c>
      <c r="BD557" s="35">
        <f t="shared" si="79"/>
        <v>0</v>
      </c>
      <c r="BE557" s="35">
        <v>0</v>
      </c>
      <c r="BF557" s="35">
        <f>557</f>
        <v>557</v>
      </c>
      <c r="BH557" s="35">
        <f t="shared" si="80"/>
        <v>0</v>
      </c>
      <c r="BI557" s="35">
        <f t="shared" si="81"/>
        <v>0</v>
      </c>
      <c r="BJ557" s="35">
        <f t="shared" si="82"/>
        <v>0</v>
      </c>
      <c r="BK557" s="62" t="s">
        <v>277</v>
      </c>
      <c r="BL557" s="35"/>
      <c r="BW557" s="35">
        <v>21</v>
      </c>
      <c r="BX557" s="3" t="s">
        <v>1176</v>
      </c>
    </row>
    <row r="558" spans="1:76">
      <c r="A558" s="1" t="s">
        <v>1177</v>
      </c>
      <c r="B558" s="2" t="s">
        <v>96</v>
      </c>
      <c r="C558" s="2" t="s">
        <v>1178</v>
      </c>
      <c r="D558" s="92" t="s">
        <v>1179</v>
      </c>
      <c r="E558" s="87"/>
      <c r="F558" s="2" t="s">
        <v>1180</v>
      </c>
      <c r="G558" s="35">
        <v>2</v>
      </c>
      <c r="H558" s="61">
        <v>0</v>
      </c>
      <c r="I558" s="35">
        <f t="shared" si="63"/>
        <v>0</v>
      </c>
      <c r="K558" s="51"/>
      <c r="Z558" s="35">
        <f t="shared" si="64"/>
        <v>0</v>
      </c>
      <c r="AB558" s="35">
        <f t="shared" si="65"/>
        <v>0</v>
      </c>
      <c r="AC558" s="35">
        <f t="shared" si="66"/>
        <v>0</v>
      </c>
      <c r="AD558" s="35">
        <f t="shared" si="67"/>
        <v>0</v>
      </c>
      <c r="AE558" s="35">
        <f t="shared" si="68"/>
        <v>0</v>
      </c>
      <c r="AF558" s="35">
        <f t="shared" si="69"/>
        <v>0</v>
      </c>
      <c r="AG558" s="35">
        <f t="shared" si="70"/>
        <v>0</v>
      </c>
      <c r="AH558" s="35">
        <f t="shared" si="71"/>
        <v>0</v>
      </c>
      <c r="AI558" s="46" t="s">
        <v>96</v>
      </c>
      <c r="AJ558" s="35">
        <f t="shared" si="72"/>
        <v>0</v>
      </c>
      <c r="AK558" s="35">
        <f t="shared" si="73"/>
        <v>0</v>
      </c>
      <c r="AL558" s="35">
        <f t="shared" si="74"/>
        <v>0</v>
      </c>
      <c r="AN558" s="35">
        <v>21</v>
      </c>
      <c r="AO558" s="35">
        <f>H558*0</f>
        <v>0</v>
      </c>
      <c r="AP558" s="35">
        <f>H558*(1-0)</f>
        <v>0</v>
      </c>
      <c r="AQ558" s="62" t="s">
        <v>127</v>
      </c>
      <c r="AV558" s="35">
        <f t="shared" si="75"/>
        <v>0</v>
      </c>
      <c r="AW558" s="35">
        <f t="shared" si="76"/>
        <v>0</v>
      </c>
      <c r="AX558" s="35">
        <f t="shared" si="77"/>
        <v>0</v>
      </c>
      <c r="AY558" s="62" t="s">
        <v>1171</v>
      </c>
      <c r="AZ558" s="62" t="s">
        <v>1172</v>
      </c>
      <c r="BA558" s="46" t="s">
        <v>1173</v>
      </c>
      <c r="BC558" s="35">
        <f t="shared" si="78"/>
        <v>0</v>
      </c>
      <c r="BD558" s="35">
        <f t="shared" si="79"/>
        <v>0</v>
      </c>
      <c r="BE558" s="35">
        <v>0</v>
      </c>
      <c r="BF558" s="35">
        <f>558</f>
        <v>558</v>
      </c>
      <c r="BH558" s="35">
        <f t="shared" si="80"/>
        <v>0</v>
      </c>
      <c r="BI558" s="35">
        <f t="shared" si="81"/>
        <v>0</v>
      </c>
      <c r="BJ558" s="35">
        <f t="shared" si="82"/>
        <v>0</v>
      </c>
      <c r="BK558" s="62" t="s">
        <v>135</v>
      </c>
      <c r="BL558" s="35"/>
      <c r="BW558" s="35">
        <v>21</v>
      </c>
      <c r="BX558" s="3" t="s">
        <v>1179</v>
      </c>
    </row>
    <row r="559" spans="1:76">
      <c r="A559" s="1" t="s">
        <v>1181</v>
      </c>
      <c r="B559" s="2" t="s">
        <v>96</v>
      </c>
      <c r="C559" s="2" t="s">
        <v>1182</v>
      </c>
      <c r="D559" s="92" t="s">
        <v>1183</v>
      </c>
      <c r="E559" s="87"/>
      <c r="F559" s="2" t="s">
        <v>1180</v>
      </c>
      <c r="G559" s="35">
        <v>4</v>
      </c>
      <c r="H559" s="61">
        <v>0</v>
      </c>
      <c r="I559" s="35">
        <f t="shared" si="63"/>
        <v>0</v>
      </c>
      <c r="K559" s="51"/>
      <c r="Z559" s="35">
        <f t="shared" si="64"/>
        <v>0</v>
      </c>
      <c r="AB559" s="35">
        <f t="shared" si="65"/>
        <v>0</v>
      </c>
      <c r="AC559" s="35">
        <f t="shared" si="66"/>
        <v>0</v>
      </c>
      <c r="AD559" s="35">
        <f t="shared" si="67"/>
        <v>0</v>
      </c>
      <c r="AE559" s="35">
        <f t="shared" si="68"/>
        <v>0</v>
      </c>
      <c r="AF559" s="35">
        <f t="shared" si="69"/>
        <v>0</v>
      </c>
      <c r="AG559" s="35">
        <f t="shared" si="70"/>
        <v>0</v>
      </c>
      <c r="AH559" s="35">
        <f t="shared" si="71"/>
        <v>0</v>
      </c>
      <c r="AI559" s="46" t="s">
        <v>96</v>
      </c>
      <c r="AJ559" s="35">
        <f t="shared" si="72"/>
        <v>0</v>
      </c>
      <c r="AK559" s="35">
        <f t="shared" si="73"/>
        <v>0</v>
      </c>
      <c r="AL559" s="35">
        <f t="shared" si="74"/>
        <v>0</v>
      </c>
      <c r="AN559" s="35">
        <v>21</v>
      </c>
      <c r="AO559" s="35">
        <f>H559*0</f>
        <v>0</v>
      </c>
      <c r="AP559" s="35">
        <f>H559*(1-0)</f>
        <v>0</v>
      </c>
      <c r="AQ559" s="62" t="s">
        <v>127</v>
      </c>
      <c r="AV559" s="35">
        <f t="shared" si="75"/>
        <v>0</v>
      </c>
      <c r="AW559" s="35">
        <f t="shared" si="76"/>
        <v>0</v>
      </c>
      <c r="AX559" s="35">
        <f t="shared" si="77"/>
        <v>0</v>
      </c>
      <c r="AY559" s="62" t="s">
        <v>1171</v>
      </c>
      <c r="AZ559" s="62" t="s">
        <v>1172</v>
      </c>
      <c r="BA559" s="46" t="s">
        <v>1173</v>
      </c>
      <c r="BC559" s="35">
        <f t="shared" si="78"/>
        <v>0</v>
      </c>
      <c r="BD559" s="35">
        <f t="shared" si="79"/>
        <v>0</v>
      </c>
      <c r="BE559" s="35">
        <v>0</v>
      </c>
      <c r="BF559" s="35">
        <f>559</f>
        <v>559</v>
      </c>
      <c r="BH559" s="35">
        <f t="shared" si="80"/>
        <v>0</v>
      </c>
      <c r="BI559" s="35">
        <f t="shared" si="81"/>
        <v>0</v>
      </c>
      <c r="BJ559" s="35">
        <f t="shared" si="82"/>
        <v>0</v>
      </c>
      <c r="BK559" s="62" t="s">
        <v>135</v>
      </c>
      <c r="BL559" s="35"/>
      <c r="BW559" s="35">
        <v>21</v>
      </c>
      <c r="BX559" s="3" t="s">
        <v>1183</v>
      </c>
    </row>
    <row r="560" spans="1:76">
      <c r="A560" s="1" t="s">
        <v>1184</v>
      </c>
      <c r="B560" s="2" t="s">
        <v>96</v>
      </c>
      <c r="C560" s="2" t="s">
        <v>1185</v>
      </c>
      <c r="D560" s="92" t="s">
        <v>1186</v>
      </c>
      <c r="E560" s="87"/>
      <c r="F560" s="2" t="s">
        <v>277</v>
      </c>
      <c r="G560" s="35">
        <v>40</v>
      </c>
      <c r="H560" s="61">
        <v>0</v>
      </c>
      <c r="I560" s="35">
        <f t="shared" si="63"/>
        <v>0</v>
      </c>
      <c r="K560" s="51"/>
      <c r="Z560" s="35">
        <f t="shared" si="64"/>
        <v>0</v>
      </c>
      <c r="AB560" s="35">
        <f t="shared" si="65"/>
        <v>0</v>
      </c>
      <c r="AC560" s="35">
        <f t="shared" si="66"/>
        <v>0</v>
      </c>
      <c r="AD560" s="35">
        <f t="shared" si="67"/>
        <v>0</v>
      </c>
      <c r="AE560" s="35">
        <f t="shared" si="68"/>
        <v>0</v>
      </c>
      <c r="AF560" s="35">
        <f t="shared" si="69"/>
        <v>0</v>
      </c>
      <c r="AG560" s="35">
        <f t="shared" si="70"/>
        <v>0</v>
      </c>
      <c r="AH560" s="35">
        <f t="shared" si="71"/>
        <v>0</v>
      </c>
      <c r="AI560" s="46" t="s">
        <v>96</v>
      </c>
      <c r="AJ560" s="35">
        <f t="shared" si="72"/>
        <v>0</v>
      </c>
      <c r="AK560" s="35">
        <f t="shared" si="73"/>
        <v>0</v>
      </c>
      <c r="AL560" s="35">
        <f t="shared" si="74"/>
        <v>0</v>
      </c>
      <c r="AN560" s="35">
        <v>21</v>
      </c>
      <c r="AO560" s="35">
        <f>H560*1</f>
        <v>0</v>
      </c>
      <c r="AP560" s="35">
        <f>H560*(1-1)</f>
        <v>0</v>
      </c>
      <c r="AQ560" s="62" t="s">
        <v>127</v>
      </c>
      <c r="AV560" s="35">
        <f t="shared" si="75"/>
        <v>0</v>
      </c>
      <c r="AW560" s="35">
        <f t="shared" si="76"/>
        <v>0</v>
      </c>
      <c r="AX560" s="35">
        <f t="shared" si="77"/>
        <v>0</v>
      </c>
      <c r="AY560" s="62" t="s">
        <v>1171</v>
      </c>
      <c r="AZ560" s="62" t="s">
        <v>1172</v>
      </c>
      <c r="BA560" s="46" t="s">
        <v>1173</v>
      </c>
      <c r="BC560" s="35">
        <f t="shared" si="78"/>
        <v>0</v>
      </c>
      <c r="BD560" s="35">
        <f t="shared" si="79"/>
        <v>0</v>
      </c>
      <c r="BE560" s="35">
        <v>0</v>
      </c>
      <c r="BF560" s="35">
        <f>560</f>
        <v>560</v>
      </c>
      <c r="BH560" s="35">
        <f t="shared" si="80"/>
        <v>0</v>
      </c>
      <c r="BI560" s="35">
        <f t="shared" si="81"/>
        <v>0</v>
      </c>
      <c r="BJ560" s="35">
        <f t="shared" si="82"/>
        <v>0</v>
      </c>
      <c r="BK560" s="62" t="s">
        <v>277</v>
      </c>
      <c r="BL560" s="35"/>
      <c r="BW560" s="35">
        <v>21</v>
      </c>
      <c r="BX560" s="3" t="s">
        <v>1186</v>
      </c>
    </row>
    <row r="561" spans="1:76">
      <c r="A561" s="1" t="s">
        <v>1187</v>
      </c>
      <c r="B561" s="2" t="s">
        <v>96</v>
      </c>
      <c r="C561" s="2" t="s">
        <v>1188</v>
      </c>
      <c r="D561" s="92" t="s">
        <v>1189</v>
      </c>
      <c r="E561" s="87"/>
      <c r="F561" s="2" t="s">
        <v>277</v>
      </c>
      <c r="G561" s="35">
        <v>260</v>
      </c>
      <c r="H561" s="61">
        <v>0</v>
      </c>
      <c r="I561" s="35">
        <f t="shared" si="63"/>
        <v>0</v>
      </c>
      <c r="K561" s="51"/>
      <c r="Z561" s="35">
        <f t="shared" si="64"/>
        <v>0</v>
      </c>
      <c r="AB561" s="35">
        <f t="shared" si="65"/>
        <v>0</v>
      </c>
      <c r="AC561" s="35">
        <f t="shared" si="66"/>
        <v>0</v>
      </c>
      <c r="AD561" s="35">
        <f t="shared" si="67"/>
        <v>0</v>
      </c>
      <c r="AE561" s="35">
        <f t="shared" si="68"/>
        <v>0</v>
      </c>
      <c r="AF561" s="35">
        <f t="shared" si="69"/>
        <v>0</v>
      </c>
      <c r="AG561" s="35">
        <f t="shared" si="70"/>
        <v>0</v>
      </c>
      <c r="AH561" s="35">
        <f t="shared" si="71"/>
        <v>0</v>
      </c>
      <c r="AI561" s="46" t="s">
        <v>96</v>
      </c>
      <c r="AJ561" s="35">
        <f t="shared" si="72"/>
        <v>0</v>
      </c>
      <c r="AK561" s="35">
        <f t="shared" si="73"/>
        <v>0</v>
      </c>
      <c r="AL561" s="35">
        <f t="shared" si="74"/>
        <v>0</v>
      </c>
      <c r="AN561" s="35">
        <v>21</v>
      </c>
      <c r="AO561" s="35">
        <f>H561*0</f>
        <v>0</v>
      </c>
      <c r="AP561" s="35">
        <f>H561*(1-0)</f>
        <v>0</v>
      </c>
      <c r="AQ561" s="62" t="s">
        <v>127</v>
      </c>
      <c r="AV561" s="35">
        <f t="shared" si="75"/>
        <v>0</v>
      </c>
      <c r="AW561" s="35">
        <f t="shared" si="76"/>
        <v>0</v>
      </c>
      <c r="AX561" s="35">
        <f t="shared" si="77"/>
        <v>0</v>
      </c>
      <c r="AY561" s="62" t="s">
        <v>1171</v>
      </c>
      <c r="AZ561" s="62" t="s">
        <v>1172</v>
      </c>
      <c r="BA561" s="46" t="s">
        <v>1173</v>
      </c>
      <c r="BC561" s="35">
        <f t="shared" si="78"/>
        <v>0</v>
      </c>
      <c r="BD561" s="35">
        <f t="shared" si="79"/>
        <v>0</v>
      </c>
      <c r="BE561" s="35">
        <v>0</v>
      </c>
      <c r="BF561" s="35">
        <f>561</f>
        <v>561</v>
      </c>
      <c r="BH561" s="35">
        <f t="shared" si="80"/>
        <v>0</v>
      </c>
      <c r="BI561" s="35">
        <f t="shared" si="81"/>
        <v>0</v>
      </c>
      <c r="BJ561" s="35">
        <f t="shared" si="82"/>
        <v>0</v>
      </c>
      <c r="BK561" s="62" t="s">
        <v>135</v>
      </c>
      <c r="BL561" s="35"/>
      <c r="BW561" s="35">
        <v>21</v>
      </c>
      <c r="BX561" s="3" t="s">
        <v>1189</v>
      </c>
    </row>
    <row r="562" spans="1:76">
      <c r="A562" s="1" t="s">
        <v>1190</v>
      </c>
      <c r="B562" s="2" t="s">
        <v>96</v>
      </c>
      <c r="C562" s="2" t="s">
        <v>1191</v>
      </c>
      <c r="D562" s="92" t="s">
        <v>1192</v>
      </c>
      <c r="E562" s="87"/>
      <c r="F562" s="2" t="s">
        <v>1180</v>
      </c>
      <c r="G562" s="35">
        <v>6</v>
      </c>
      <c r="H562" s="61">
        <v>0</v>
      </c>
      <c r="I562" s="35">
        <f t="shared" si="63"/>
        <v>0</v>
      </c>
      <c r="K562" s="51"/>
      <c r="Z562" s="35">
        <f t="shared" si="64"/>
        <v>0</v>
      </c>
      <c r="AB562" s="35">
        <f t="shared" si="65"/>
        <v>0</v>
      </c>
      <c r="AC562" s="35">
        <f t="shared" si="66"/>
        <v>0</v>
      </c>
      <c r="AD562" s="35">
        <f t="shared" si="67"/>
        <v>0</v>
      </c>
      <c r="AE562" s="35">
        <f t="shared" si="68"/>
        <v>0</v>
      </c>
      <c r="AF562" s="35">
        <f t="shared" si="69"/>
        <v>0</v>
      </c>
      <c r="AG562" s="35">
        <f t="shared" si="70"/>
        <v>0</v>
      </c>
      <c r="AH562" s="35">
        <f t="shared" si="71"/>
        <v>0</v>
      </c>
      <c r="AI562" s="46" t="s">
        <v>96</v>
      </c>
      <c r="AJ562" s="35">
        <f t="shared" si="72"/>
        <v>0</v>
      </c>
      <c r="AK562" s="35">
        <f t="shared" si="73"/>
        <v>0</v>
      </c>
      <c r="AL562" s="35">
        <f t="shared" si="74"/>
        <v>0</v>
      </c>
      <c r="AN562" s="35">
        <v>21</v>
      </c>
      <c r="AO562" s="35">
        <f>H562*0</f>
        <v>0</v>
      </c>
      <c r="AP562" s="35">
        <f>H562*(1-0)</f>
        <v>0</v>
      </c>
      <c r="AQ562" s="62" t="s">
        <v>127</v>
      </c>
      <c r="AV562" s="35">
        <f t="shared" si="75"/>
        <v>0</v>
      </c>
      <c r="AW562" s="35">
        <f t="shared" si="76"/>
        <v>0</v>
      </c>
      <c r="AX562" s="35">
        <f t="shared" si="77"/>
        <v>0</v>
      </c>
      <c r="AY562" s="62" t="s">
        <v>1171</v>
      </c>
      <c r="AZ562" s="62" t="s">
        <v>1172</v>
      </c>
      <c r="BA562" s="46" t="s">
        <v>1173</v>
      </c>
      <c r="BC562" s="35">
        <f t="shared" si="78"/>
        <v>0</v>
      </c>
      <c r="BD562" s="35">
        <f t="shared" si="79"/>
        <v>0</v>
      </c>
      <c r="BE562" s="35">
        <v>0</v>
      </c>
      <c r="BF562" s="35">
        <f>562</f>
        <v>562</v>
      </c>
      <c r="BH562" s="35">
        <f t="shared" si="80"/>
        <v>0</v>
      </c>
      <c r="BI562" s="35">
        <f t="shared" si="81"/>
        <v>0</v>
      </c>
      <c r="BJ562" s="35">
        <f t="shared" si="82"/>
        <v>0</v>
      </c>
      <c r="BK562" s="62" t="s">
        <v>135</v>
      </c>
      <c r="BL562" s="35"/>
      <c r="BW562" s="35">
        <v>21</v>
      </c>
      <c r="BX562" s="3" t="s">
        <v>1192</v>
      </c>
    </row>
    <row r="563" spans="1:76">
      <c r="A563" s="1" t="s">
        <v>1193</v>
      </c>
      <c r="B563" s="2" t="s">
        <v>96</v>
      </c>
      <c r="C563" s="2" t="s">
        <v>1194</v>
      </c>
      <c r="D563" s="92" t="s">
        <v>1195</v>
      </c>
      <c r="E563" s="87"/>
      <c r="F563" s="2" t="s">
        <v>1180</v>
      </c>
      <c r="G563" s="35">
        <v>6</v>
      </c>
      <c r="H563" s="61">
        <v>0</v>
      </c>
      <c r="I563" s="35">
        <f t="shared" si="63"/>
        <v>0</v>
      </c>
      <c r="K563" s="51"/>
      <c r="Z563" s="35">
        <f t="shared" si="64"/>
        <v>0</v>
      </c>
      <c r="AB563" s="35">
        <f t="shared" si="65"/>
        <v>0</v>
      </c>
      <c r="AC563" s="35">
        <f t="shared" si="66"/>
        <v>0</v>
      </c>
      <c r="AD563" s="35">
        <f t="shared" si="67"/>
        <v>0</v>
      </c>
      <c r="AE563" s="35">
        <f t="shared" si="68"/>
        <v>0</v>
      </c>
      <c r="AF563" s="35">
        <f t="shared" si="69"/>
        <v>0</v>
      </c>
      <c r="AG563" s="35">
        <f t="shared" si="70"/>
        <v>0</v>
      </c>
      <c r="AH563" s="35">
        <f t="shared" si="71"/>
        <v>0</v>
      </c>
      <c r="AI563" s="46" t="s">
        <v>96</v>
      </c>
      <c r="AJ563" s="35">
        <f t="shared" si="72"/>
        <v>0</v>
      </c>
      <c r="AK563" s="35">
        <f t="shared" si="73"/>
        <v>0</v>
      </c>
      <c r="AL563" s="35">
        <f t="shared" si="74"/>
        <v>0</v>
      </c>
      <c r="AN563" s="35">
        <v>21</v>
      </c>
      <c r="AO563" s="35">
        <f>H563*0</f>
        <v>0</v>
      </c>
      <c r="AP563" s="35">
        <f>H563*(1-0)</f>
        <v>0</v>
      </c>
      <c r="AQ563" s="62" t="s">
        <v>127</v>
      </c>
      <c r="AV563" s="35">
        <f t="shared" si="75"/>
        <v>0</v>
      </c>
      <c r="AW563" s="35">
        <f t="shared" si="76"/>
        <v>0</v>
      </c>
      <c r="AX563" s="35">
        <f t="shared" si="77"/>
        <v>0</v>
      </c>
      <c r="AY563" s="62" t="s">
        <v>1171</v>
      </c>
      <c r="AZ563" s="62" t="s">
        <v>1172</v>
      </c>
      <c r="BA563" s="46" t="s">
        <v>1173</v>
      </c>
      <c r="BC563" s="35">
        <f t="shared" si="78"/>
        <v>0</v>
      </c>
      <c r="BD563" s="35">
        <f t="shared" si="79"/>
        <v>0</v>
      </c>
      <c r="BE563" s="35">
        <v>0</v>
      </c>
      <c r="BF563" s="35">
        <f>563</f>
        <v>563</v>
      </c>
      <c r="BH563" s="35">
        <f t="shared" si="80"/>
        <v>0</v>
      </c>
      <c r="BI563" s="35">
        <f t="shared" si="81"/>
        <v>0</v>
      </c>
      <c r="BJ563" s="35">
        <f t="shared" si="82"/>
        <v>0</v>
      </c>
      <c r="BK563" s="62" t="s">
        <v>135</v>
      </c>
      <c r="BL563" s="35"/>
      <c r="BW563" s="35">
        <v>21</v>
      </c>
      <c r="BX563" s="3" t="s">
        <v>1195</v>
      </c>
    </row>
    <row r="564" spans="1:76">
      <c r="A564" s="1" t="s">
        <v>1196</v>
      </c>
      <c r="B564" s="2" t="s">
        <v>96</v>
      </c>
      <c r="C564" s="2" t="s">
        <v>1197</v>
      </c>
      <c r="D564" s="92" t="s">
        <v>1198</v>
      </c>
      <c r="E564" s="87"/>
      <c r="F564" s="2" t="s">
        <v>277</v>
      </c>
      <c r="G564" s="35">
        <v>4</v>
      </c>
      <c r="H564" s="61">
        <v>0</v>
      </c>
      <c r="I564" s="35">
        <f t="shared" si="63"/>
        <v>0</v>
      </c>
      <c r="K564" s="51"/>
      <c r="Z564" s="35">
        <f t="shared" si="64"/>
        <v>0</v>
      </c>
      <c r="AB564" s="35">
        <f t="shared" si="65"/>
        <v>0</v>
      </c>
      <c r="AC564" s="35">
        <f t="shared" si="66"/>
        <v>0</v>
      </c>
      <c r="AD564" s="35">
        <f t="shared" si="67"/>
        <v>0</v>
      </c>
      <c r="AE564" s="35">
        <f t="shared" si="68"/>
        <v>0</v>
      </c>
      <c r="AF564" s="35">
        <f t="shared" si="69"/>
        <v>0</v>
      </c>
      <c r="AG564" s="35">
        <f t="shared" si="70"/>
        <v>0</v>
      </c>
      <c r="AH564" s="35">
        <f t="shared" si="71"/>
        <v>0</v>
      </c>
      <c r="AI564" s="46" t="s">
        <v>96</v>
      </c>
      <c r="AJ564" s="35">
        <f t="shared" si="72"/>
        <v>0</v>
      </c>
      <c r="AK564" s="35">
        <f t="shared" si="73"/>
        <v>0</v>
      </c>
      <c r="AL564" s="35">
        <f t="shared" si="74"/>
        <v>0</v>
      </c>
      <c r="AN564" s="35">
        <v>21</v>
      </c>
      <c r="AO564" s="35">
        <f>H564*1</f>
        <v>0</v>
      </c>
      <c r="AP564" s="35">
        <f>H564*(1-1)</f>
        <v>0</v>
      </c>
      <c r="AQ564" s="62" t="s">
        <v>127</v>
      </c>
      <c r="AV564" s="35">
        <f t="shared" si="75"/>
        <v>0</v>
      </c>
      <c r="AW564" s="35">
        <f t="shared" si="76"/>
        <v>0</v>
      </c>
      <c r="AX564" s="35">
        <f t="shared" si="77"/>
        <v>0</v>
      </c>
      <c r="AY564" s="62" t="s">
        <v>1171</v>
      </c>
      <c r="AZ564" s="62" t="s">
        <v>1172</v>
      </c>
      <c r="BA564" s="46" t="s">
        <v>1173</v>
      </c>
      <c r="BC564" s="35">
        <f t="shared" si="78"/>
        <v>0</v>
      </c>
      <c r="BD564" s="35">
        <f t="shared" si="79"/>
        <v>0</v>
      </c>
      <c r="BE564" s="35">
        <v>0</v>
      </c>
      <c r="BF564" s="35">
        <f>564</f>
        <v>564</v>
      </c>
      <c r="BH564" s="35">
        <f t="shared" si="80"/>
        <v>0</v>
      </c>
      <c r="BI564" s="35">
        <f t="shared" si="81"/>
        <v>0</v>
      </c>
      <c r="BJ564" s="35">
        <f t="shared" si="82"/>
        <v>0</v>
      </c>
      <c r="BK564" s="62" t="s">
        <v>277</v>
      </c>
      <c r="BL564" s="35"/>
      <c r="BW564" s="35">
        <v>21</v>
      </c>
      <c r="BX564" s="3" t="s">
        <v>1198</v>
      </c>
    </row>
    <row r="565" spans="1:76">
      <c r="A565" s="1" t="s">
        <v>1199</v>
      </c>
      <c r="B565" s="2" t="s">
        <v>96</v>
      </c>
      <c r="C565" s="2" t="s">
        <v>1200</v>
      </c>
      <c r="D565" s="92" t="s">
        <v>1201</v>
      </c>
      <c r="E565" s="87"/>
      <c r="F565" s="2" t="s">
        <v>277</v>
      </c>
      <c r="G565" s="35">
        <v>10</v>
      </c>
      <c r="H565" s="61">
        <v>0</v>
      </c>
      <c r="I565" s="35">
        <f t="shared" si="63"/>
        <v>0</v>
      </c>
      <c r="K565" s="51"/>
      <c r="Z565" s="35">
        <f t="shared" si="64"/>
        <v>0</v>
      </c>
      <c r="AB565" s="35">
        <f t="shared" si="65"/>
        <v>0</v>
      </c>
      <c r="AC565" s="35">
        <f t="shared" si="66"/>
        <v>0</v>
      </c>
      <c r="AD565" s="35">
        <f t="shared" si="67"/>
        <v>0</v>
      </c>
      <c r="AE565" s="35">
        <f t="shared" si="68"/>
        <v>0</v>
      </c>
      <c r="AF565" s="35">
        <f t="shared" si="69"/>
        <v>0</v>
      </c>
      <c r="AG565" s="35">
        <f t="shared" si="70"/>
        <v>0</v>
      </c>
      <c r="AH565" s="35">
        <f t="shared" si="71"/>
        <v>0</v>
      </c>
      <c r="AI565" s="46" t="s">
        <v>96</v>
      </c>
      <c r="AJ565" s="35">
        <f t="shared" si="72"/>
        <v>0</v>
      </c>
      <c r="AK565" s="35">
        <f t="shared" si="73"/>
        <v>0</v>
      </c>
      <c r="AL565" s="35">
        <f t="shared" si="74"/>
        <v>0</v>
      </c>
      <c r="AN565" s="35">
        <v>21</v>
      </c>
      <c r="AO565" s="35">
        <f>H565*0</f>
        <v>0</v>
      </c>
      <c r="AP565" s="35">
        <f>H565*(1-0)</f>
        <v>0</v>
      </c>
      <c r="AQ565" s="62" t="s">
        <v>127</v>
      </c>
      <c r="AV565" s="35">
        <f t="shared" si="75"/>
        <v>0</v>
      </c>
      <c r="AW565" s="35">
        <f t="shared" si="76"/>
        <v>0</v>
      </c>
      <c r="AX565" s="35">
        <f t="shared" si="77"/>
        <v>0</v>
      </c>
      <c r="AY565" s="62" t="s">
        <v>1171</v>
      </c>
      <c r="AZ565" s="62" t="s">
        <v>1172</v>
      </c>
      <c r="BA565" s="46" t="s">
        <v>1173</v>
      </c>
      <c r="BC565" s="35">
        <f t="shared" si="78"/>
        <v>0</v>
      </c>
      <c r="BD565" s="35">
        <f t="shared" si="79"/>
        <v>0</v>
      </c>
      <c r="BE565" s="35">
        <v>0</v>
      </c>
      <c r="BF565" s="35">
        <f>565</f>
        <v>565</v>
      </c>
      <c r="BH565" s="35">
        <f t="shared" si="80"/>
        <v>0</v>
      </c>
      <c r="BI565" s="35">
        <f t="shared" si="81"/>
        <v>0</v>
      </c>
      <c r="BJ565" s="35">
        <f t="shared" si="82"/>
        <v>0</v>
      </c>
      <c r="BK565" s="62" t="s">
        <v>135</v>
      </c>
      <c r="BL565" s="35"/>
      <c r="BW565" s="35">
        <v>21</v>
      </c>
      <c r="BX565" s="3" t="s">
        <v>1201</v>
      </c>
    </row>
    <row r="566" spans="1:76">
      <c r="A566" s="1" t="s">
        <v>1202</v>
      </c>
      <c r="B566" s="2" t="s">
        <v>96</v>
      </c>
      <c r="C566" s="2" t="s">
        <v>1203</v>
      </c>
      <c r="D566" s="92" t="s">
        <v>1204</v>
      </c>
      <c r="E566" s="87"/>
      <c r="F566" s="2" t="s">
        <v>1180</v>
      </c>
      <c r="G566" s="35">
        <v>6</v>
      </c>
      <c r="H566" s="61">
        <v>0</v>
      </c>
      <c r="I566" s="35">
        <f t="shared" si="63"/>
        <v>0</v>
      </c>
      <c r="K566" s="51"/>
      <c r="Z566" s="35">
        <f t="shared" si="64"/>
        <v>0</v>
      </c>
      <c r="AB566" s="35">
        <f t="shared" si="65"/>
        <v>0</v>
      </c>
      <c r="AC566" s="35">
        <f t="shared" si="66"/>
        <v>0</v>
      </c>
      <c r="AD566" s="35">
        <f t="shared" si="67"/>
        <v>0</v>
      </c>
      <c r="AE566" s="35">
        <f t="shared" si="68"/>
        <v>0</v>
      </c>
      <c r="AF566" s="35">
        <f t="shared" si="69"/>
        <v>0</v>
      </c>
      <c r="AG566" s="35">
        <f t="shared" si="70"/>
        <v>0</v>
      </c>
      <c r="AH566" s="35">
        <f t="shared" si="71"/>
        <v>0</v>
      </c>
      <c r="AI566" s="46" t="s">
        <v>96</v>
      </c>
      <c r="AJ566" s="35">
        <f t="shared" si="72"/>
        <v>0</v>
      </c>
      <c r="AK566" s="35">
        <f t="shared" si="73"/>
        <v>0</v>
      </c>
      <c r="AL566" s="35">
        <f t="shared" si="74"/>
        <v>0</v>
      </c>
      <c r="AN566" s="35">
        <v>21</v>
      </c>
      <c r="AO566" s="35">
        <f>H566*0</f>
        <v>0</v>
      </c>
      <c r="AP566" s="35">
        <f>H566*(1-0)</f>
        <v>0</v>
      </c>
      <c r="AQ566" s="62" t="s">
        <v>127</v>
      </c>
      <c r="AV566" s="35">
        <f t="shared" si="75"/>
        <v>0</v>
      </c>
      <c r="AW566" s="35">
        <f t="shared" si="76"/>
        <v>0</v>
      </c>
      <c r="AX566" s="35">
        <f t="shared" si="77"/>
        <v>0</v>
      </c>
      <c r="AY566" s="62" t="s">
        <v>1171</v>
      </c>
      <c r="AZ566" s="62" t="s">
        <v>1172</v>
      </c>
      <c r="BA566" s="46" t="s">
        <v>1173</v>
      </c>
      <c r="BC566" s="35">
        <f t="shared" si="78"/>
        <v>0</v>
      </c>
      <c r="BD566" s="35">
        <f t="shared" si="79"/>
        <v>0</v>
      </c>
      <c r="BE566" s="35">
        <v>0</v>
      </c>
      <c r="BF566" s="35">
        <f>566</f>
        <v>566</v>
      </c>
      <c r="BH566" s="35">
        <f t="shared" si="80"/>
        <v>0</v>
      </c>
      <c r="BI566" s="35">
        <f t="shared" si="81"/>
        <v>0</v>
      </c>
      <c r="BJ566" s="35">
        <f t="shared" si="82"/>
        <v>0</v>
      </c>
      <c r="BK566" s="62" t="s">
        <v>135</v>
      </c>
      <c r="BL566" s="35"/>
      <c r="BW566" s="35">
        <v>21</v>
      </c>
      <c r="BX566" s="3" t="s">
        <v>1204</v>
      </c>
    </row>
    <row r="567" spans="1:76">
      <c r="A567" s="1" t="s">
        <v>1205</v>
      </c>
      <c r="B567" s="2" t="s">
        <v>96</v>
      </c>
      <c r="C567" s="2" t="s">
        <v>725</v>
      </c>
      <c r="D567" s="92" t="s">
        <v>1206</v>
      </c>
      <c r="E567" s="87"/>
      <c r="F567" s="2" t="s">
        <v>277</v>
      </c>
      <c r="G567" s="35">
        <v>220</v>
      </c>
      <c r="H567" s="61">
        <v>0</v>
      </c>
      <c r="I567" s="35">
        <f t="shared" si="63"/>
        <v>0</v>
      </c>
      <c r="K567" s="51"/>
      <c r="Z567" s="35">
        <f t="shared" si="64"/>
        <v>0</v>
      </c>
      <c r="AB567" s="35">
        <f t="shared" si="65"/>
        <v>0</v>
      </c>
      <c r="AC567" s="35">
        <f t="shared" si="66"/>
        <v>0</v>
      </c>
      <c r="AD567" s="35">
        <f t="shared" si="67"/>
        <v>0</v>
      </c>
      <c r="AE567" s="35">
        <f t="shared" si="68"/>
        <v>0</v>
      </c>
      <c r="AF567" s="35">
        <f t="shared" si="69"/>
        <v>0</v>
      </c>
      <c r="AG567" s="35">
        <f t="shared" si="70"/>
        <v>0</v>
      </c>
      <c r="AH567" s="35">
        <f t="shared" si="71"/>
        <v>0</v>
      </c>
      <c r="AI567" s="46" t="s">
        <v>96</v>
      </c>
      <c r="AJ567" s="35">
        <f t="shared" si="72"/>
        <v>0</v>
      </c>
      <c r="AK567" s="35">
        <f t="shared" si="73"/>
        <v>0</v>
      </c>
      <c r="AL567" s="35">
        <f t="shared" si="74"/>
        <v>0</v>
      </c>
      <c r="AN567" s="35">
        <v>21</v>
      </c>
      <c r="AO567" s="35">
        <f>H567*1</f>
        <v>0</v>
      </c>
      <c r="AP567" s="35">
        <f>H567*(1-1)</f>
        <v>0</v>
      </c>
      <c r="AQ567" s="62" t="s">
        <v>127</v>
      </c>
      <c r="AV567" s="35">
        <f t="shared" si="75"/>
        <v>0</v>
      </c>
      <c r="AW567" s="35">
        <f t="shared" si="76"/>
        <v>0</v>
      </c>
      <c r="AX567" s="35">
        <f t="shared" si="77"/>
        <v>0</v>
      </c>
      <c r="AY567" s="62" t="s">
        <v>1171</v>
      </c>
      <c r="AZ567" s="62" t="s">
        <v>1172</v>
      </c>
      <c r="BA567" s="46" t="s">
        <v>1173</v>
      </c>
      <c r="BC567" s="35">
        <f t="shared" si="78"/>
        <v>0</v>
      </c>
      <c r="BD567" s="35">
        <f t="shared" si="79"/>
        <v>0</v>
      </c>
      <c r="BE567" s="35">
        <v>0</v>
      </c>
      <c r="BF567" s="35">
        <f>567</f>
        <v>567</v>
      </c>
      <c r="BH567" s="35">
        <f t="shared" si="80"/>
        <v>0</v>
      </c>
      <c r="BI567" s="35">
        <f t="shared" si="81"/>
        <v>0</v>
      </c>
      <c r="BJ567" s="35">
        <f t="shared" si="82"/>
        <v>0</v>
      </c>
      <c r="BK567" s="62" t="s">
        <v>277</v>
      </c>
      <c r="BL567" s="35"/>
      <c r="BW567" s="35">
        <v>21</v>
      </c>
      <c r="BX567" s="3" t="s">
        <v>1206</v>
      </c>
    </row>
    <row r="568" spans="1:76">
      <c r="A568" s="1" t="s">
        <v>1207</v>
      </c>
      <c r="B568" s="2" t="s">
        <v>96</v>
      </c>
      <c r="C568" s="2" t="s">
        <v>1208</v>
      </c>
      <c r="D568" s="92" t="s">
        <v>1209</v>
      </c>
      <c r="E568" s="87"/>
      <c r="F568" s="2" t="s">
        <v>1180</v>
      </c>
      <c r="G568" s="35">
        <v>6</v>
      </c>
      <c r="H568" s="61">
        <v>0</v>
      </c>
      <c r="I568" s="35">
        <f t="shared" si="63"/>
        <v>0</v>
      </c>
      <c r="K568" s="51"/>
      <c r="Z568" s="35">
        <f t="shared" si="64"/>
        <v>0</v>
      </c>
      <c r="AB568" s="35">
        <f t="shared" si="65"/>
        <v>0</v>
      </c>
      <c r="AC568" s="35">
        <f t="shared" si="66"/>
        <v>0</v>
      </c>
      <c r="AD568" s="35">
        <f t="shared" si="67"/>
        <v>0</v>
      </c>
      <c r="AE568" s="35">
        <f t="shared" si="68"/>
        <v>0</v>
      </c>
      <c r="AF568" s="35">
        <f t="shared" si="69"/>
        <v>0</v>
      </c>
      <c r="AG568" s="35">
        <f t="shared" si="70"/>
        <v>0</v>
      </c>
      <c r="AH568" s="35">
        <f t="shared" si="71"/>
        <v>0</v>
      </c>
      <c r="AI568" s="46" t="s">
        <v>96</v>
      </c>
      <c r="AJ568" s="35">
        <f t="shared" si="72"/>
        <v>0</v>
      </c>
      <c r="AK568" s="35">
        <f t="shared" si="73"/>
        <v>0</v>
      </c>
      <c r="AL568" s="35">
        <f t="shared" si="74"/>
        <v>0</v>
      </c>
      <c r="AN568" s="35">
        <v>21</v>
      </c>
      <c r="AO568" s="35">
        <f>H568*1</f>
        <v>0</v>
      </c>
      <c r="AP568" s="35">
        <f>H568*(1-1)</f>
        <v>0</v>
      </c>
      <c r="AQ568" s="62" t="s">
        <v>127</v>
      </c>
      <c r="AV568" s="35">
        <f t="shared" si="75"/>
        <v>0</v>
      </c>
      <c r="AW568" s="35">
        <f t="shared" si="76"/>
        <v>0</v>
      </c>
      <c r="AX568" s="35">
        <f t="shared" si="77"/>
        <v>0</v>
      </c>
      <c r="AY568" s="62" t="s">
        <v>1171</v>
      </c>
      <c r="AZ568" s="62" t="s">
        <v>1172</v>
      </c>
      <c r="BA568" s="46" t="s">
        <v>1173</v>
      </c>
      <c r="BC568" s="35">
        <f t="shared" si="78"/>
        <v>0</v>
      </c>
      <c r="BD568" s="35">
        <f t="shared" si="79"/>
        <v>0</v>
      </c>
      <c r="BE568" s="35">
        <v>0</v>
      </c>
      <c r="BF568" s="35">
        <f>568</f>
        <v>568</v>
      </c>
      <c r="BH568" s="35">
        <f t="shared" si="80"/>
        <v>0</v>
      </c>
      <c r="BI568" s="35">
        <f t="shared" si="81"/>
        <v>0</v>
      </c>
      <c r="BJ568" s="35">
        <f t="shared" si="82"/>
        <v>0</v>
      </c>
      <c r="BK568" s="62" t="s">
        <v>277</v>
      </c>
      <c r="BL568" s="35"/>
      <c r="BW568" s="35">
        <v>21</v>
      </c>
      <c r="BX568" s="3" t="s">
        <v>1209</v>
      </c>
    </row>
    <row r="569" spans="1:76">
      <c r="A569" s="1" t="s">
        <v>1210</v>
      </c>
      <c r="B569" s="2" t="s">
        <v>96</v>
      </c>
      <c r="C569" s="2" t="s">
        <v>1211</v>
      </c>
      <c r="D569" s="92" t="s">
        <v>1212</v>
      </c>
      <c r="E569" s="87"/>
      <c r="F569" s="2" t="s">
        <v>1180</v>
      </c>
      <c r="G569" s="35">
        <v>18</v>
      </c>
      <c r="H569" s="61">
        <v>0</v>
      </c>
      <c r="I569" s="35">
        <f t="shared" si="63"/>
        <v>0</v>
      </c>
      <c r="K569" s="51"/>
      <c r="Z569" s="35">
        <f t="shared" si="64"/>
        <v>0</v>
      </c>
      <c r="AB569" s="35">
        <f t="shared" si="65"/>
        <v>0</v>
      </c>
      <c r="AC569" s="35">
        <f t="shared" si="66"/>
        <v>0</v>
      </c>
      <c r="AD569" s="35">
        <f t="shared" si="67"/>
        <v>0</v>
      </c>
      <c r="AE569" s="35">
        <f t="shared" si="68"/>
        <v>0</v>
      </c>
      <c r="AF569" s="35">
        <f t="shared" si="69"/>
        <v>0</v>
      </c>
      <c r="AG569" s="35">
        <f t="shared" si="70"/>
        <v>0</v>
      </c>
      <c r="AH569" s="35">
        <f t="shared" si="71"/>
        <v>0</v>
      </c>
      <c r="AI569" s="46" t="s">
        <v>96</v>
      </c>
      <c r="AJ569" s="35">
        <f t="shared" si="72"/>
        <v>0</v>
      </c>
      <c r="AK569" s="35">
        <f t="shared" si="73"/>
        <v>0</v>
      </c>
      <c r="AL569" s="35">
        <f t="shared" si="74"/>
        <v>0</v>
      </c>
      <c r="AN569" s="35">
        <v>21</v>
      </c>
      <c r="AO569" s="35">
        <f>H569*1</f>
        <v>0</v>
      </c>
      <c r="AP569" s="35">
        <f>H569*(1-1)</f>
        <v>0</v>
      </c>
      <c r="AQ569" s="62" t="s">
        <v>127</v>
      </c>
      <c r="AV569" s="35">
        <f t="shared" si="75"/>
        <v>0</v>
      </c>
      <c r="AW569" s="35">
        <f t="shared" si="76"/>
        <v>0</v>
      </c>
      <c r="AX569" s="35">
        <f t="shared" si="77"/>
        <v>0</v>
      </c>
      <c r="AY569" s="62" t="s">
        <v>1171</v>
      </c>
      <c r="AZ569" s="62" t="s">
        <v>1172</v>
      </c>
      <c r="BA569" s="46" t="s">
        <v>1173</v>
      </c>
      <c r="BC569" s="35">
        <f t="shared" si="78"/>
        <v>0</v>
      </c>
      <c r="BD569" s="35">
        <f t="shared" si="79"/>
        <v>0</v>
      </c>
      <c r="BE569" s="35">
        <v>0</v>
      </c>
      <c r="BF569" s="35">
        <f>569</f>
        <v>569</v>
      </c>
      <c r="BH569" s="35">
        <f t="shared" si="80"/>
        <v>0</v>
      </c>
      <c r="BI569" s="35">
        <f t="shared" si="81"/>
        <v>0</v>
      </c>
      <c r="BJ569" s="35">
        <f t="shared" si="82"/>
        <v>0</v>
      </c>
      <c r="BK569" s="62" t="s">
        <v>277</v>
      </c>
      <c r="BL569" s="35"/>
      <c r="BW569" s="35">
        <v>21</v>
      </c>
      <c r="BX569" s="3" t="s">
        <v>1212</v>
      </c>
    </row>
    <row r="570" spans="1:76">
      <c r="A570" s="1" t="s">
        <v>1213</v>
      </c>
      <c r="B570" s="2" t="s">
        <v>96</v>
      </c>
      <c r="C570" s="2" t="s">
        <v>1214</v>
      </c>
      <c r="D570" s="92" t="s">
        <v>1215</v>
      </c>
      <c r="E570" s="87"/>
      <c r="F570" s="2" t="s">
        <v>1180</v>
      </c>
      <c r="G570" s="35">
        <v>1</v>
      </c>
      <c r="H570" s="61">
        <v>0</v>
      </c>
      <c r="I570" s="35">
        <f t="shared" si="63"/>
        <v>0</v>
      </c>
      <c r="K570" s="51"/>
      <c r="Z570" s="35">
        <f t="shared" si="64"/>
        <v>0</v>
      </c>
      <c r="AB570" s="35">
        <f t="shared" si="65"/>
        <v>0</v>
      </c>
      <c r="AC570" s="35">
        <f t="shared" si="66"/>
        <v>0</v>
      </c>
      <c r="AD570" s="35">
        <f t="shared" si="67"/>
        <v>0</v>
      </c>
      <c r="AE570" s="35">
        <f t="shared" si="68"/>
        <v>0</v>
      </c>
      <c r="AF570" s="35">
        <f t="shared" si="69"/>
        <v>0</v>
      </c>
      <c r="AG570" s="35">
        <f t="shared" si="70"/>
        <v>0</v>
      </c>
      <c r="AH570" s="35">
        <f t="shared" si="71"/>
        <v>0</v>
      </c>
      <c r="AI570" s="46" t="s">
        <v>96</v>
      </c>
      <c r="AJ570" s="35">
        <f t="shared" si="72"/>
        <v>0</v>
      </c>
      <c r="AK570" s="35">
        <f t="shared" si="73"/>
        <v>0</v>
      </c>
      <c r="AL570" s="35">
        <f t="shared" si="74"/>
        <v>0</v>
      </c>
      <c r="AN570" s="35">
        <v>21</v>
      </c>
      <c r="AO570" s="35">
        <f>H570*0</f>
        <v>0</v>
      </c>
      <c r="AP570" s="35">
        <f>H570*(1-0)</f>
        <v>0</v>
      </c>
      <c r="AQ570" s="62" t="s">
        <v>127</v>
      </c>
      <c r="AV570" s="35">
        <f t="shared" si="75"/>
        <v>0</v>
      </c>
      <c r="AW570" s="35">
        <f t="shared" si="76"/>
        <v>0</v>
      </c>
      <c r="AX570" s="35">
        <f t="shared" si="77"/>
        <v>0</v>
      </c>
      <c r="AY570" s="62" t="s">
        <v>1171</v>
      </c>
      <c r="AZ570" s="62" t="s">
        <v>1172</v>
      </c>
      <c r="BA570" s="46" t="s">
        <v>1173</v>
      </c>
      <c r="BC570" s="35">
        <f t="shared" si="78"/>
        <v>0</v>
      </c>
      <c r="BD570" s="35">
        <f t="shared" si="79"/>
        <v>0</v>
      </c>
      <c r="BE570" s="35">
        <v>0</v>
      </c>
      <c r="BF570" s="35">
        <f>570</f>
        <v>570</v>
      </c>
      <c r="BH570" s="35">
        <f t="shared" si="80"/>
        <v>0</v>
      </c>
      <c r="BI570" s="35">
        <f t="shared" si="81"/>
        <v>0</v>
      </c>
      <c r="BJ570" s="35">
        <f t="shared" si="82"/>
        <v>0</v>
      </c>
      <c r="BK570" s="62" t="s">
        <v>135</v>
      </c>
      <c r="BL570" s="35"/>
      <c r="BW570" s="35">
        <v>21</v>
      </c>
      <c r="BX570" s="3" t="s">
        <v>1215</v>
      </c>
    </row>
    <row r="571" spans="1:76">
      <c r="A571" s="1" t="s">
        <v>1216</v>
      </c>
      <c r="B571" s="2" t="s">
        <v>96</v>
      </c>
      <c r="C571" s="2" t="s">
        <v>1217</v>
      </c>
      <c r="D571" s="92" t="s">
        <v>1218</v>
      </c>
      <c r="E571" s="87"/>
      <c r="F571" s="2" t="s">
        <v>1219</v>
      </c>
      <c r="G571" s="35">
        <v>1</v>
      </c>
      <c r="H571" s="61">
        <v>0</v>
      </c>
      <c r="I571" s="35">
        <f t="shared" si="63"/>
        <v>0</v>
      </c>
      <c r="K571" s="51"/>
      <c r="Z571" s="35">
        <f t="shared" si="64"/>
        <v>0</v>
      </c>
      <c r="AB571" s="35">
        <f t="shared" si="65"/>
        <v>0</v>
      </c>
      <c r="AC571" s="35">
        <f t="shared" si="66"/>
        <v>0</v>
      </c>
      <c r="AD571" s="35">
        <f t="shared" si="67"/>
        <v>0</v>
      </c>
      <c r="AE571" s="35">
        <f t="shared" si="68"/>
        <v>0</v>
      </c>
      <c r="AF571" s="35">
        <f t="shared" si="69"/>
        <v>0</v>
      </c>
      <c r="AG571" s="35">
        <f t="shared" si="70"/>
        <v>0</v>
      </c>
      <c r="AH571" s="35">
        <f t="shared" si="71"/>
        <v>0</v>
      </c>
      <c r="AI571" s="46" t="s">
        <v>96</v>
      </c>
      <c r="AJ571" s="35">
        <f t="shared" si="72"/>
        <v>0</v>
      </c>
      <c r="AK571" s="35">
        <f t="shared" si="73"/>
        <v>0</v>
      </c>
      <c r="AL571" s="35">
        <f t="shared" si="74"/>
        <v>0</v>
      </c>
      <c r="AN571" s="35">
        <v>21</v>
      </c>
      <c r="AO571" s="35">
        <f>H571*0</f>
        <v>0</v>
      </c>
      <c r="AP571" s="35">
        <f>H571*(1-0)</f>
        <v>0</v>
      </c>
      <c r="AQ571" s="62" t="s">
        <v>136</v>
      </c>
      <c r="AV571" s="35">
        <f t="shared" si="75"/>
        <v>0</v>
      </c>
      <c r="AW571" s="35">
        <f t="shared" si="76"/>
        <v>0</v>
      </c>
      <c r="AX571" s="35">
        <f t="shared" si="77"/>
        <v>0</v>
      </c>
      <c r="AY571" s="62" t="s">
        <v>1171</v>
      </c>
      <c r="AZ571" s="62" t="s">
        <v>1172</v>
      </c>
      <c r="BA571" s="46" t="s">
        <v>1173</v>
      </c>
      <c r="BC571" s="35">
        <f t="shared" si="78"/>
        <v>0</v>
      </c>
      <c r="BD571" s="35">
        <f t="shared" si="79"/>
        <v>0</v>
      </c>
      <c r="BE571" s="35">
        <v>0</v>
      </c>
      <c r="BF571" s="35">
        <f>571</f>
        <v>571</v>
      </c>
      <c r="BH571" s="35">
        <f t="shared" si="80"/>
        <v>0</v>
      </c>
      <c r="BI571" s="35">
        <f t="shared" si="81"/>
        <v>0</v>
      </c>
      <c r="BJ571" s="35">
        <f t="shared" si="82"/>
        <v>0</v>
      </c>
      <c r="BK571" s="62" t="s">
        <v>135</v>
      </c>
      <c r="BL571" s="35"/>
      <c r="BW571" s="35">
        <v>21</v>
      </c>
      <c r="BX571" s="3" t="s">
        <v>1218</v>
      </c>
    </row>
    <row r="572" spans="1:76">
      <c r="A572" s="57" t="s">
        <v>4</v>
      </c>
      <c r="B572" s="58" t="s">
        <v>96</v>
      </c>
      <c r="C572" s="58" t="s">
        <v>1220</v>
      </c>
      <c r="D572" s="174" t="s">
        <v>1221</v>
      </c>
      <c r="E572" s="175"/>
      <c r="F572" s="59" t="s">
        <v>79</v>
      </c>
      <c r="G572" s="59" t="s">
        <v>79</v>
      </c>
      <c r="H572" s="60" t="s">
        <v>79</v>
      </c>
      <c r="I572" s="40">
        <f>SUM(I573:I575)</f>
        <v>0</v>
      </c>
      <c r="K572" s="51"/>
      <c r="AI572" s="46" t="s">
        <v>96</v>
      </c>
      <c r="AS572" s="40">
        <f>SUM(AJ573:AJ575)</f>
        <v>0</v>
      </c>
      <c r="AT572" s="40">
        <f>SUM(AK573:AK575)</f>
        <v>0</v>
      </c>
      <c r="AU572" s="40">
        <f>SUM(AL573:AL575)</f>
        <v>0</v>
      </c>
    </row>
    <row r="573" spans="1:76">
      <c r="A573" s="1" t="s">
        <v>1222</v>
      </c>
      <c r="B573" s="2" t="s">
        <v>96</v>
      </c>
      <c r="C573" s="2" t="s">
        <v>1223</v>
      </c>
      <c r="D573" s="92" t="s">
        <v>1224</v>
      </c>
      <c r="E573" s="87"/>
      <c r="F573" s="2" t="s">
        <v>1180</v>
      </c>
      <c r="G573" s="35">
        <v>1</v>
      </c>
      <c r="H573" s="61">
        <v>0</v>
      </c>
      <c r="I573" s="35">
        <f>ROUND(G573*H573,2)</f>
        <v>0</v>
      </c>
      <c r="K573" s="51"/>
      <c r="Z573" s="35">
        <f>ROUND(IF(AQ573="5",BJ573,0),2)</f>
        <v>0</v>
      </c>
      <c r="AB573" s="35">
        <f>ROUND(IF(AQ573="1",BH573,0),2)</f>
        <v>0</v>
      </c>
      <c r="AC573" s="35">
        <f>ROUND(IF(AQ573="1",BI573,0),2)</f>
        <v>0</v>
      </c>
      <c r="AD573" s="35">
        <f>ROUND(IF(AQ573="7",BH573,0),2)</f>
        <v>0</v>
      </c>
      <c r="AE573" s="35">
        <f>ROUND(IF(AQ573="7",BI573,0),2)</f>
        <v>0</v>
      </c>
      <c r="AF573" s="35">
        <f>ROUND(IF(AQ573="2",BH573,0),2)</f>
        <v>0</v>
      </c>
      <c r="AG573" s="35">
        <f>ROUND(IF(AQ573="2",BI573,0),2)</f>
        <v>0</v>
      </c>
      <c r="AH573" s="35">
        <f>ROUND(IF(AQ573="0",BJ573,0),2)</f>
        <v>0</v>
      </c>
      <c r="AI573" s="46" t="s">
        <v>96</v>
      </c>
      <c r="AJ573" s="35">
        <f>IF(AN573=0,I573,0)</f>
        <v>0</v>
      </c>
      <c r="AK573" s="35">
        <f>IF(AN573=12,I573,0)</f>
        <v>0</v>
      </c>
      <c r="AL573" s="35">
        <f>IF(AN573=21,I573,0)</f>
        <v>0</v>
      </c>
      <c r="AN573" s="35">
        <v>21</v>
      </c>
      <c r="AO573" s="35">
        <f>H573*0</f>
        <v>0</v>
      </c>
      <c r="AP573" s="35">
        <f>H573*(1-0)</f>
        <v>0</v>
      </c>
      <c r="AQ573" s="62" t="s">
        <v>127</v>
      </c>
      <c r="AV573" s="35">
        <f>ROUND(AW573+AX573,2)</f>
        <v>0</v>
      </c>
      <c r="AW573" s="35">
        <f>ROUND(G573*AO573,2)</f>
        <v>0</v>
      </c>
      <c r="AX573" s="35">
        <f>ROUND(G573*AP573,2)</f>
        <v>0</v>
      </c>
      <c r="AY573" s="62" t="s">
        <v>1225</v>
      </c>
      <c r="AZ573" s="62" t="s">
        <v>1172</v>
      </c>
      <c r="BA573" s="46" t="s">
        <v>1173</v>
      </c>
      <c r="BC573" s="35">
        <f>AW573+AX573</f>
        <v>0</v>
      </c>
      <c r="BD573" s="35">
        <f>H573/(100-BE573)*100</f>
        <v>0</v>
      </c>
      <c r="BE573" s="35">
        <v>0</v>
      </c>
      <c r="BF573" s="35">
        <f>573</f>
        <v>573</v>
      </c>
      <c r="BH573" s="35">
        <f>G573*AO573</f>
        <v>0</v>
      </c>
      <c r="BI573" s="35">
        <f>G573*AP573</f>
        <v>0</v>
      </c>
      <c r="BJ573" s="35">
        <f>G573*H573</f>
        <v>0</v>
      </c>
      <c r="BK573" s="62" t="s">
        <v>135</v>
      </c>
      <c r="BL573" s="35"/>
      <c r="BW573" s="35">
        <v>21</v>
      </c>
      <c r="BX573" s="3" t="s">
        <v>1224</v>
      </c>
    </row>
    <row r="574" spans="1:76">
      <c r="A574" s="1" t="s">
        <v>1226</v>
      </c>
      <c r="B574" s="2" t="s">
        <v>96</v>
      </c>
      <c r="C574" s="2" t="s">
        <v>1227</v>
      </c>
      <c r="D574" s="92" t="s">
        <v>1228</v>
      </c>
      <c r="E574" s="87"/>
      <c r="F574" s="2" t="s">
        <v>1180</v>
      </c>
      <c r="G574" s="35">
        <v>1</v>
      </c>
      <c r="H574" s="61">
        <v>0</v>
      </c>
      <c r="I574" s="35">
        <f>ROUND(G574*H574,2)</f>
        <v>0</v>
      </c>
      <c r="K574" s="51"/>
      <c r="Z574" s="35">
        <f>ROUND(IF(AQ574="5",BJ574,0),2)</f>
        <v>0</v>
      </c>
      <c r="AB574" s="35">
        <f>ROUND(IF(AQ574="1",BH574,0),2)</f>
        <v>0</v>
      </c>
      <c r="AC574" s="35">
        <f>ROUND(IF(AQ574="1",BI574,0),2)</f>
        <v>0</v>
      </c>
      <c r="AD574" s="35">
        <f>ROUND(IF(AQ574="7",BH574,0),2)</f>
        <v>0</v>
      </c>
      <c r="AE574" s="35">
        <f>ROUND(IF(AQ574="7",BI574,0),2)</f>
        <v>0</v>
      </c>
      <c r="AF574" s="35">
        <f>ROUND(IF(AQ574="2",BH574,0),2)</f>
        <v>0</v>
      </c>
      <c r="AG574" s="35">
        <f>ROUND(IF(AQ574="2",BI574,0),2)</f>
        <v>0</v>
      </c>
      <c r="AH574" s="35">
        <f>ROUND(IF(AQ574="0",BJ574,0),2)</f>
        <v>0</v>
      </c>
      <c r="AI574" s="46" t="s">
        <v>96</v>
      </c>
      <c r="AJ574" s="35">
        <f>IF(AN574=0,I574,0)</f>
        <v>0</v>
      </c>
      <c r="AK574" s="35">
        <f>IF(AN574=12,I574,0)</f>
        <v>0</v>
      </c>
      <c r="AL574" s="35">
        <f>IF(AN574=21,I574,0)</f>
        <v>0</v>
      </c>
      <c r="AN574" s="35">
        <v>21</v>
      </c>
      <c r="AO574" s="35">
        <f>H574*0</f>
        <v>0</v>
      </c>
      <c r="AP574" s="35">
        <f>H574*(1-0)</f>
        <v>0</v>
      </c>
      <c r="AQ574" s="62" t="s">
        <v>127</v>
      </c>
      <c r="AV574" s="35">
        <f>ROUND(AW574+AX574,2)</f>
        <v>0</v>
      </c>
      <c r="AW574" s="35">
        <f>ROUND(G574*AO574,2)</f>
        <v>0</v>
      </c>
      <c r="AX574" s="35">
        <f>ROUND(G574*AP574,2)</f>
        <v>0</v>
      </c>
      <c r="AY574" s="62" t="s">
        <v>1225</v>
      </c>
      <c r="AZ574" s="62" t="s">
        <v>1172</v>
      </c>
      <c r="BA574" s="46" t="s">
        <v>1173</v>
      </c>
      <c r="BC574" s="35">
        <f>AW574+AX574</f>
        <v>0</v>
      </c>
      <c r="BD574" s="35">
        <f>H574/(100-BE574)*100</f>
        <v>0</v>
      </c>
      <c r="BE574" s="35">
        <v>0</v>
      </c>
      <c r="BF574" s="35">
        <f>574</f>
        <v>574</v>
      </c>
      <c r="BH574" s="35">
        <f>G574*AO574</f>
        <v>0</v>
      </c>
      <c r="BI574" s="35">
        <f>G574*AP574</f>
        <v>0</v>
      </c>
      <c r="BJ574" s="35">
        <f>G574*H574</f>
        <v>0</v>
      </c>
      <c r="BK574" s="62" t="s">
        <v>135</v>
      </c>
      <c r="BL574" s="35"/>
      <c r="BW574" s="35">
        <v>21</v>
      </c>
      <c r="BX574" s="3" t="s">
        <v>1228</v>
      </c>
    </row>
    <row r="575" spans="1:76">
      <c r="A575" s="1" t="s">
        <v>1229</v>
      </c>
      <c r="B575" s="2" t="s">
        <v>96</v>
      </c>
      <c r="C575" s="2" t="s">
        <v>1230</v>
      </c>
      <c r="D575" s="92" t="s">
        <v>1231</v>
      </c>
      <c r="E575" s="87"/>
      <c r="F575" s="2" t="s">
        <v>1180</v>
      </c>
      <c r="G575" s="35">
        <v>1</v>
      </c>
      <c r="H575" s="61">
        <v>0</v>
      </c>
      <c r="I575" s="35">
        <f>ROUND(G575*H575,2)</f>
        <v>0</v>
      </c>
      <c r="K575" s="51"/>
      <c r="Z575" s="35">
        <f>ROUND(IF(AQ575="5",BJ575,0),2)</f>
        <v>0</v>
      </c>
      <c r="AB575" s="35">
        <f>ROUND(IF(AQ575="1",BH575,0),2)</f>
        <v>0</v>
      </c>
      <c r="AC575" s="35">
        <f>ROUND(IF(AQ575="1",BI575,0),2)</f>
        <v>0</v>
      </c>
      <c r="AD575" s="35">
        <f>ROUND(IF(AQ575="7",BH575,0),2)</f>
        <v>0</v>
      </c>
      <c r="AE575" s="35">
        <f>ROUND(IF(AQ575="7",BI575,0),2)</f>
        <v>0</v>
      </c>
      <c r="AF575" s="35">
        <f>ROUND(IF(AQ575="2",BH575,0),2)</f>
        <v>0</v>
      </c>
      <c r="AG575" s="35">
        <f>ROUND(IF(AQ575="2",BI575,0),2)</f>
        <v>0</v>
      </c>
      <c r="AH575" s="35">
        <f>ROUND(IF(AQ575="0",BJ575,0),2)</f>
        <v>0</v>
      </c>
      <c r="AI575" s="46" t="s">
        <v>96</v>
      </c>
      <c r="AJ575" s="35">
        <f>IF(AN575=0,I575,0)</f>
        <v>0</v>
      </c>
      <c r="AK575" s="35">
        <f>IF(AN575=12,I575,0)</f>
        <v>0</v>
      </c>
      <c r="AL575" s="35">
        <f>IF(AN575=21,I575,0)</f>
        <v>0</v>
      </c>
      <c r="AN575" s="35">
        <v>21</v>
      </c>
      <c r="AO575" s="35">
        <f>H575*0</f>
        <v>0</v>
      </c>
      <c r="AP575" s="35">
        <f>H575*(1-0)</f>
        <v>0</v>
      </c>
      <c r="AQ575" s="62" t="s">
        <v>127</v>
      </c>
      <c r="AV575" s="35">
        <f>ROUND(AW575+AX575,2)</f>
        <v>0</v>
      </c>
      <c r="AW575" s="35">
        <f>ROUND(G575*AO575,2)</f>
        <v>0</v>
      </c>
      <c r="AX575" s="35">
        <f>ROUND(G575*AP575,2)</f>
        <v>0</v>
      </c>
      <c r="AY575" s="62" t="s">
        <v>1225</v>
      </c>
      <c r="AZ575" s="62" t="s">
        <v>1172</v>
      </c>
      <c r="BA575" s="46" t="s">
        <v>1173</v>
      </c>
      <c r="BC575" s="35">
        <f>AW575+AX575</f>
        <v>0</v>
      </c>
      <c r="BD575" s="35">
        <f>H575/(100-BE575)*100</f>
        <v>0</v>
      </c>
      <c r="BE575" s="35">
        <v>0</v>
      </c>
      <c r="BF575" s="35">
        <f>575</f>
        <v>575</v>
      </c>
      <c r="BH575" s="35">
        <f>G575*AO575</f>
        <v>0</v>
      </c>
      <c r="BI575" s="35">
        <f>G575*AP575</f>
        <v>0</v>
      </c>
      <c r="BJ575" s="35">
        <f>G575*H575</f>
        <v>0</v>
      </c>
      <c r="BK575" s="62" t="s">
        <v>135</v>
      </c>
      <c r="BL575" s="35"/>
      <c r="BW575" s="35">
        <v>21</v>
      </c>
      <c r="BX575" s="3" t="s">
        <v>1231</v>
      </c>
    </row>
    <row r="576" spans="1:76">
      <c r="A576" s="57" t="s">
        <v>4</v>
      </c>
      <c r="B576" s="58" t="s">
        <v>96</v>
      </c>
      <c r="C576" s="58" t="s">
        <v>1232</v>
      </c>
      <c r="D576" s="174" t="s">
        <v>1233</v>
      </c>
      <c r="E576" s="175"/>
      <c r="F576" s="59" t="s">
        <v>79</v>
      </c>
      <c r="G576" s="59" t="s">
        <v>79</v>
      </c>
      <c r="H576" s="60" t="s">
        <v>79</v>
      </c>
      <c r="I576" s="40">
        <f>SUM(I577:I577)</f>
        <v>0</v>
      </c>
      <c r="K576" s="51"/>
      <c r="AI576" s="46" t="s">
        <v>96</v>
      </c>
      <c r="AS576" s="40">
        <f>SUM(AJ577:AJ577)</f>
        <v>0</v>
      </c>
      <c r="AT576" s="40">
        <f>SUM(AK577:AK577)</f>
        <v>0</v>
      </c>
      <c r="AU576" s="40">
        <f>SUM(AL577:AL577)</f>
        <v>0</v>
      </c>
    </row>
    <row r="577" spans="1:76">
      <c r="A577" s="1" t="s">
        <v>1234</v>
      </c>
      <c r="B577" s="2" t="s">
        <v>96</v>
      </c>
      <c r="C577" s="2" t="s">
        <v>1235</v>
      </c>
      <c r="D577" s="92" t="s">
        <v>1236</v>
      </c>
      <c r="E577" s="87"/>
      <c r="F577" s="2" t="s">
        <v>1237</v>
      </c>
      <c r="G577" s="35">
        <v>11</v>
      </c>
      <c r="H577" s="61">
        <v>0</v>
      </c>
      <c r="I577" s="35">
        <f>ROUND(G577*H577,2)</f>
        <v>0</v>
      </c>
      <c r="K577" s="51"/>
      <c r="Z577" s="35">
        <f>ROUND(IF(AQ577="5",BJ577,0),2)</f>
        <v>0</v>
      </c>
      <c r="AB577" s="35">
        <f>ROUND(IF(AQ577="1",BH577,0),2)</f>
        <v>0</v>
      </c>
      <c r="AC577" s="35">
        <f>ROUND(IF(AQ577="1",BI577,0),2)</f>
        <v>0</v>
      </c>
      <c r="AD577" s="35">
        <f>ROUND(IF(AQ577="7",BH577,0),2)</f>
        <v>0</v>
      </c>
      <c r="AE577" s="35">
        <f>ROUND(IF(AQ577="7",BI577,0),2)</f>
        <v>0</v>
      </c>
      <c r="AF577" s="35">
        <f>ROUND(IF(AQ577="2",BH577,0),2)</f>
        <v>0</v>
      </c>
      <c r="AG577" s="35">
        <f>ROUND(IF(AQ577="2",BI577,0),2)</f>
        <v>0</v>
      </c>
      <c r="AH577" s="35">
        <f>ROUND(IF(AQ577="0",BJ577,0),2)</f>
        <v>0</v>
      </c>
      <c r="AI577" s="46" t="s">
        <v>96</v>
      </c>
      <c r="AJ577" s="35">
        <f>IF(AN577=0,I577,0)</f>
        <v>0</v>
      </c>
      <c r="AK577" s="35">
        <f>IF(AN577=12,I577,0)</f>
        <v>0</v>
      </c>
      <c r="AL577" s="35">
        <f>IF(AN577=21,I577,0)</f>
        <v>0</v>
      </c>
      <c r="AN577" s="35">
        <v>21</v>
      </c>
      <c r="AO577" s="35">
        <f>H577*0</f>
        <v>0</v>
      </c>
      <c r="AP577" s="35">
        <f>H577*(1-0)</f>
        <v>0</v>
      </c>
      <c r="AQ577" s="62" t="s">
        <v>127</v>
      </c>
      <c r="AV577" s="35">
        <f>ROUND(AW577+AX577,2)</f>
        <v>0</v>
      </c>
      <c r="AW577" s="35">
        <f>ROUND(G577*AO577,2)</f>
        <v>0</v>
      </c>
      <c r="AX577" s="35">
        <f>ROUND(G577*AP577,2)</f>
        <v>0</v>
      </c>
      <c r="AY577" s="62" t="s">
        <v>1238</v>
      </c>
      <c r="AZ577" s="62" t="s">
        <v>1172</v>
      </c>
      <c r="BA577" s="46" t="s">
        <v>1173</v>
      </c>
      <c r="BC577" s="35">
        <f>AW577+AX577</f>
        <v>0</v>
      </c>
      <c r="BD577" s="35">
        <f>H577/(100-BE577)*100</f>
        <v>0</v>
      </c>
      <c r="BE577" s="35">
        <v>0</v>
      </c>
      <c r="BF577" s="35">
        <f>577</f>
        <v>577</v>
      </c>
      <c r="BH577" s="35">
        <f>G577*AO577</f>
        <v>0</v>
      </c>
      <c r="BI577" s="35">
        <f>G577*AP577</f>
        <v>0</v>
      </c>
      <c r="BJ577" s="35">
        <f>G577*H577</f>
        <v>0</v>
      </c>
      <c r="BK577" s="62" t="s">
        <v>135</v>
      </c>
      <c r="BL577" s="35"/>
      <c r="BW577" s="35">
        <v>21</v>
      </c>
      <c r="BX577" s="3" t="s">
        <v>1236</v>
      </c>
    </row>
    <row r="578" spans="1:76">
      <c r="A578" s="57" t="s">
        <v>4</v>
      </c>
      <c r="B578" s="58" t="s">
        <v>96</v>
      </c>
      <c r="C578" s="58" t="s">
        <v>1239</v>
      </c>
      <c r="D578" s="174" t="s">
        <v>1240</v>
      </c>
      <c r="E578" s="175"/>
      <c r="F578" s="59" t="s">
        <v>79</v>
      </c>
      <c r="G578" s="59" t="s">
        <v>79</v>
      </c>
      <c r="H578" s="60" t="s">
        <v>79</v>
      </c>
      <c r="I578" s="40">
        <f>SUM(I579:I604)</f>
        <v>0</v>
      </c>
      <c r="K578" s="51"/>
      <c r="AI578" s="46" t="s">
        <v>96</v>
      </c>
      <c r="AS578" s="40">
        <f>SUM(AJ579:AJ604)</f>
        <v>0</v>
      </c>
      <c r="AT578" s="40">
        <f>SUM(AK579:AK604)</f>
        <v>0</v>
      </c>
      <c r="AU578" s="40">
        <f>SUM(AL579:AL604)</f>
        <v>0</v>
      </c>
    </row>
    <row r="579" spans="1:76">
      <c r="A579" s="1" t="s">
        <v>1241</v>
      </c>
      <c r="B579" s="2" t="s">
        <v>96</v>
      </c>
      <c r="C579" s="2" t="s">
        <v>1242</v>
      </c>
      <c r="D579" s="92" t="s">
        <v>1243</v>
      </c>
      <c r="E579" s="87"/>
      <c r="F579" s="2" t="s">
        <v>277</v>
      </c>
      <c r="G579" s="35">
        <v>210</v>
      </c>
      <c r="H579" s="61">
        <v>0</v>
      </c>
      <c r="I579" s="35">
        <f t="shared" ref="I579:I604" si="83">ROUND(G579*H579,2)</f>
        <v>0</v>
      </c>
      <c r="K579" s="51"/>
      <c r="Z579" s="35">
        <f t="shared" ref="Z579:Z604" si="84">ROUND(IF(AQ579="5",BJ579,0),2)</f>
        <v>0</v>
      </c>
      <c r="AB579" s="35">
        <f t="shared" ref="AB579:AB604" si="85">ROUND(IF(AQ579="1",BH579,0),2)</f>
        <v>0</v>
      </c>
      <c r="AC579" s="35">
        <f t="shared" ref="AC579:AC604" si="86">ROUND(IF(AQ579="1",BI579,0),2)</f>
        <v>0</v>
      </c>
      <c r="AD579" s="35">
        <f t="shared" ref="AD579:AD604" si="87">ROUND(IF(AQ579="7",BH579,0),2)</f>
        <v>0</v>
      </c>
      <c r="AE579" s="35">
        <f t="shared" ref="AE579:AE604" si="88">ROUND(IF(AQ579="7",BI579,0),2)</f>
        <v>0</v>
      </c>
      <c r="AF579" s="35">
        <f t="shared" ref="AF579:AF604" si="89">ROUND(IF(AQ579="2",BH579,0),2)</f>
        <v>0</v>
      </c>
      <c r="AG579" s="35">
        <f t="shared" ref="AG579:AG604" si="90">ROUND(IF(AQ579="2",BI579,0),2)</f>
        <v>0</v>
      </c>
      <c r="AH579" s="35">
        <f t="shared" ref="AH579:AH604" si="91">ROUND(IF(AQ579="0",BJ579,0),2)</f>
        <v>0</v>
      </c>
      <c r="AI579" s="46" t="s">
        <v>96</v>
      </c>
      <c r="AJ579" s="35">
        <f t="shared" ref="AJ579:AJ604" si="92">IF(AN579=0,I579,0)</f>
        <v>0</v>
      </c>
      <c r="AK579" s="35">
        <f t="shared" ref="AK579:AK604" si="93">IF(AN579=12,I579,0)</f>
        <v>0</v>
      </c>
      <c r="AL579" s="35">
        <f t="shared" ref="AL579:AL604" si="94">IF(AN579=21,I579,0)</f>
        <v>0</v>
      </c>
      <c r="AN579" s="35">
        <v>21</v>
      </c>
      <c r="AO579" s="35">
        <f t="shared" ref="AO579:AO604" si="95">H579*0</f>
        <v>0</v>
      </c>
      <c r="AP579" s="35">
        <f t="shared" ref="AP579:AP604" si="96">H579*(1-0)</f>
        <v>0</v>
      </c>
      <c r="AQ579" s="62" t="s">
        <v>136</v>
      </c>
      <c r="AV579" s="35">
        <f t="shared" ref="AV579:AV604" si="97">ROUND(AW579+AX579,2)</f>
        <v>0</v>
      </c>
      <c r="AW579" s="35">
        <f t="shared" ref="AW579:AW604" si="98">ROUND(G579*AO579,2)</f>
        <v>0</v>
      </c>
      <c r="AX579" s="35">
        <f t="shared" ref="AX579:AX604" si="99">ROUND(G579*AP579,2)</f>
        <v>0</v>
      </c>
      <c r="AY579" s="62" t="s">
        <v>1244</v>
      </c>
      <c r="AZ579" s="62" t="s">
        <v>1172</v>
      </c>
      <c r="BA579" s="46" t="s">
        <v>1173</v>
      </c>
      <c r="BC579" s="35">
        <f t="shared" ref="BC579:BC604" si="100">AW579+AX579</f>
        <v>0</v>
      </c>
      <c r="BD579" s="35">
        <f t="shared" ref="BD579:BD604" si="101">H579/(100-BE579)*100</f>
        <v>0</v>
      </c>
      <c r="BE579" s="35">
        <v>0</v>
      </c>
      <c r="BF579" s="35">
        <f>579</f>
        <v>579</v>
      </c>
      <c r="BH579" s="35">
        <f t="shared" ref="BH579:BH604" si="102">G579*AO579</f>
        <v>0</v>
      </c>
      <c r="BI579" s="35">
        <f t="shared" ref="BI579:BI604" si="103">G579*AP579</f>
        <v>0</v>
      </c>
      <c r="BJ579" s="35">
        <f t="shared" ref="BJ579:BJ604" si="104">G579*H579</f>
        <v>0</v>
      </c>
      <c r="BK579" s="62" t="s">
        <v>135</v>
      </c>
      <c r="BL579" s="35"/>
      <c r="BW579" s="35">
        <v>21</v>
      </c>
      <c r="BX579" s="3" t="s">
        <v>1243</v>
      </c>
    </row>
    <row r="580" spans="1:76">
      <c r="A580" s="1" t="s">
        <v>1245</v>
      </c>
      <c r="B580" s="2" t="s">
        <v>96</v>
      </c>
      <c r="C580" s="2" t="s">
        <v>1246</v>
      </c>
      <c r="D580" s="92" t="s">
        <v>1247</v>
      </c>
      <c r="E580" s="87"/>
      <c r="F580" s="2" t="s">
        <v>277</v>
      </c>
      <c r="G580" s="35">
        <v>4</v>
      </c>
      <c r="H580" s="61">
        <v>0</v>
      </c>
      <c r="I580" s="35">
        <f t="shared" si="83"/>
        <v>0</v>
      </c>
      <c r="K580" s="51"/>
      <c r="Z580" s="35">
        <f t="shared" si="84"/>
        <v>0</v>
      </c>
      <c r="AB580" s="35">
        <f t="shared" si="85"/>
        <v>0</v>
      </c>
      <c r="AC580" s="35">
        <f t="shared" si="86"/>
        <v>0</v>
      </c>
      <c r="AD580" s="35">
        <f t="shared" si="87"/>
        <v>0</v>
      </c>
      <c r="AE580" s="35">
        <f t="shared" si="88"/>
        <v>0</v>
      </c>
      <c r="AF580" s="35">
        <f t="shared" si="89"/>
        <v>0</v>
      </c>
      <c r="AG580" s="35">
        <f t="shared" si="90"/>
        <v>0</v>
      </c>
      <c r="AH580" s="35">
        <f t="shared" si="91"/>
        <v>0</v>
      </c>
      <c r="AI580" s="46" t="s">
        <v>96</v>
      </c>
      <c r="AJ580" s="35">
        <f t="shared" si="92"/>
        <v>0</v>
      </c>
      <c r="AK580" s="35">
        <f t="shared" si="93"/>
        <v>0</v>
      </c>
      <c r="AL580" s="35">
        <f t="shared" si="94"/>
        <v>0</v>
      </c>
      <c r="AN580" s="35">
        <v>21</v>
      </c>
      <c r="AO580" s="35">
        <f t="shared" si="95"/>
        <v>0</v>
      </c>
      <c r="AP580" s="35">
        <f t="shared" si="96"/>
        <v>0</v>
      </c>
      <c r="AQ580" s="62" t="s">
        <v>136</v>
      </c>
      <c r="AV580" s="35">
        <f t="shared" si="97"/>
        <v>0</v>
      </c>
      <c r="AW580" s="35">
        <f t="shared" si="98"/>
        <v>0</v>
      </c>
      <c r="AX580" s="35">
        <f t="shared" si="99"/>
        <v>0</v>
      </c>
      <c r="AY580" s="62" t="s">
        <v>1244</v>
      </c>
      <c r="AZ580" s="62" t="s">
        <v>1172</v>
      </c>
      <c r="BA580" s="46" t="s">
        <v>1173</v>
      </c>
      <c r="BC580" s="35">
        <f t="shared" si="100"/>
        <v>0</v>
      </c>
      <c r="BD580" s="35">
        <f t="shared" si="101"/>
        <v>0</v>
      </c>
      <c r="BE580" s="35">
        <v>0</v>
      </c>
      <c r="BF580" s="35">
        <f>580</f>
        <v>580</v>
      </c>
      <c r="BH580" s="35">
        <f t="shared" si="102"/>
        <v>0</v>
      </c>
      <c r="BI580" s="35">
        <f t="shared" si="103"/>
        <v>0</v>
      </c>
      <c r="BJ580" s="35">
        <f t="shared" si="104"/>
        <v>0</v>
      </c>
      <c r="BK580" s="62" t="s">
        <v>135</v>
      </c>
      <c r="BL580" s="35"/>
      <c r="BW580" s="35">
        <v>21</v>
      </c>
      <c r="BX580" s="3" t="s">
        <v>1247</v>
      </c>
    </row>
    <row r="581" spans="1:76">
      <c r="A581" s="1" t="s">
        <v>1248</v>
      </c>
      <c r="B581" s="2" t="s">
        <v>96</v>
      </c>
      <c r="C581" s="2" t="s">
        <v>1249</v>
      </c>
      <c r="D581" s="92" t="s">
        <v>1250</v>
      </c>
      <c r="E581" s="87"/>
      <c r="F581" s="2" t="s">
        <v>277</v>
      </c>
      <c r="G581" s="35">
        <v>10</v>
      </c>
      <c r="H581" s="61">
        <v>0</v>
      </c>
      <c r="I581" s="35">
        <f t="shared" si="83"/>
        <v>0</v>
      </c>
      <c r="K581" s="51"/>
      <c r="Z581" s="35">
        <f t="shared" si="84"/>
        <v>0</v>
      </c>
      <c r="AB581" s="35">
        <f t="shared" si="85"/>
        <v>0</v>
      </c>
      <c r="AC581" s="35">
        <f t="shared" si="86"/>
        <v>0</v>
      </c>
      <c r="AD581" s="35">
        <f t="shared" si="87"/>
        <v>0</v>
      </c>
      <c r="AE581" s="35">
        <f t="shared" si="88"/>
        <v>0</v>
      </c>
      <c r="AF581" s="35">
        <f t="shared" si="89"/>
        <v>0</v>
      </c>
      <c r="AG581" s="35">
        <f t="shared" si="90"/>
        <v>0</v>
      </c>
      <c r="AH581" s="35">
        <f t="shared" si="91"/>
        <v>0</v>
      </c>
      <c r="AI581" s="46" t="s">
        <v>96</v>
      </c>
      <c r="AJ581" s="35">
        <f t="shared" si="92"/>
        <v>0</v>
      </c>
      <c r="AK581" s="35">
        <f t="shared" si="93"/>
        <v>0</v>
      </c>
      <c r="AL581" s="35">
        <f t="shared" si="94"/>
        <v>0</v>
      </c>
      <c r="AN581" s="35">
        <v>21</v>
      </c>
      <c r="AO581" s="35">
        <f t="shared" si="95"/>
        <v>0</v>
      </c>
      <c r="AP581" s="35">
        <f t="shared" si="96"/>
        <v>0</v>
      </c>
      <c r="AQ581" s="62" t="s">
        <v>136</v>
      </c>
      <c r="AV581" s="35">
        <f t="shared" si="97"/>
        <v>0</v>
      </c>
      <c r="AW581" s="35">
        <f t="shared" si="98"/>
        <v>0</v>
      </c>
      <c r="AX581" s="35">
        <f t="shared" si="99"/>
        <v>0</v>
      </c>
      <c r="AY581" s="62" t="s">
        <v>1244</v>
      </c>
      <c r="AZ581" s="62" t="s">
        <v>1172</v>
      </c>
      <c r="BA581" s="46" t="s">
        <v>1173</v>
      </c>
      <c r="BC581" s="35">
        <f t="shared" si="100"/>
        <v>0</v>
      </c>
      <c r="BD581" s="35">
        <f t="shared" si="101"/>
        <v>0</v>
      </c>
      <c r="BE581" s="35">
        <v>0</v>
      </c>
      <c r="BF581" s="35">
        <f>581</f>
        <v>581</v>
      </c>
      <c r="BH581" s="35">
        <f t="shared" si="102"/>
        <v>0</v>
      </c>
      <c r="BI581" s="35">
        <f t="shared" si="103"/>
        <v>0</v>
      </c>
      <c r="BJ581" s="35">
        <f t="shared" si="104"/>
        <v>0</v>
      </c>
      <c r="BK581" s="62" t="s">
        <v>135</v>
      </c>
      <c r="BL581" s="35"/>
      <c r="BW581" s="35">
        <v>21</v>
      </c>
      <c r="BX581" s="3" t="s">
        <v>1250</v>
      </c>
    </row>
    <row r="582" spans="1:76">
      <c r="A582" s="1" t="s">
        <v>1251</v>
      </c>
      <c r="B582" s="2" t="s">
        <v>96</v>
      </c>
      <c r="C582" s="2" t="s">
        <v>1252</v>
      </c>
      <c r="D582" s="92" t="s">
        <v>1253</v>
      </c>
      <c r="E582" s="87"/>
      <c r="F582" s="2" t="s">
        <v>1180</v>
      </c>
      <c r="G582" s="35">
        <v>1</v>
      </c>
      <c r="H582" s="61">
        <v>0</v>
      </c>
      <c r="I582" s="35">
        <f t="shared" si="83"/>
        <v>0</v>
      </c>
      <c r="K582" s="51"/>
      <c r="Z582" s="35">
        <f t="shared" si="84"/>
        <v>0</v>
      </c>
      <c r="AB582" s="35">
        <f t="shared" si="85"/>
        <v>0</v>
      </c>
      <c r="AC582" s="35">
        <f t="shared" si="86"/>
        <v>0</v>
      </c>
      <c r="AD582" s="35">
        <f t="shared" si="87"/>
        <v>0</v>
      </c>
      <c r="AE582" s="35">
        <f t="shared" si="88"/>
        <v>0</v>
      </c>
      <c r="AF582" s="35">
        <f t="shared" si="89"/>
        <v>0</v>
      </c>
      <c r="AG582" s="35">
        <f t="shared" si="90"/>
        <v>0</v>
      </c>
      <c r="AH582" s="35">
        <f t="shared" si="91"/>
        <v>0</v>
      </c>
      <c r="AI582" s="46" t="s">
        <v>96</v>
      </c>
      <c r="AJ582" s="35">
        <f t="shared" si="92"/>
        <v>0</v>
      </c>
      <c r="AK582" s="35">
        <f t="shared" si="93"/>
        <v>0</v>
      </c>
      <c r="AL582" s="35">
        <f t="shared" si="94"/>
        <v>0</v>
      </c>
      <c r="AN582" s="35">
        <v>21</v>
      </c>
      <c r="AO582" s="35">
        <f t="shared" si="95"/>
        <v>0</v>
      </c>
      <c r="AP582" s="35">
        <f t="shared" si="96"/>
        <v>0</v>
      </c>
      <c r="AQ582" s="62" t="s">
        <v>136</v>
      </c>
      <c r="AV582" s="35">
        <f t="shared" si="97"/>
        <v>0</v>
      </c>
      <c r="AW582" s="35">
        <f t="shared" si="98"/>
        <v>0</v>
      </c>
      <c r="AX582" s="35">
        <f t="shared" si="99"/>
        <v>0</v>
      </c>
      <c r="AY582" s="62" t="s">
        <v>1244</v>
      </c>
      <c r="AZ582" s="62" t="s">
        <v>1172</v>
      </c>
      <c r="BA582" s="46" t="s">
        <v>1173</v>
      </c>
      <c r="BC582" s="35">
        <f t="shared" si="100"/>
        <v>0</v>
      </c>
      <c r="BD582" s="35">
        <f t="shared" si="101"/>
        <v>0</v>
      </c>
      <c r="BE582" s="35">
        <v>0</v>
      </c>
      <c r="BF582" s="35">
        <f>582</f>
        <v>582</v>
      </c>
      <c r="BH582" s="35">
        <f t="shared" si="102"/>
        <v>0</v>
      </c>
      <c r="BI582" s="35">
        <f t="shared" si="103"/>
        <v>0</v>
      </c>
      <c r="BJ582" s="35">
        <f t="shared" si="104"/>
        <v>0</v>
      </c>
      <c r="BK582" s="62" t="s">
        <v>135</v>
      </c>
      <c r="BL582" s="35"/>
      <c r="BW582" s="35">
        <v>21</v>
      </c>
      <c r="BX582" s="3" t="s">
        <v>1253</v>
      </c>
    </row>
    <row r="583" spans="1:76">
      <c r="A583" s="1" t="s">
        <v>1254</v>
      </c>
      <c r="B583" s="2" t="s">
        <v>96</v>
      </c>
      <c r="C583" s="2" t="s">
        <v>1255</v>
      </c>
      <c r="D583" s="92" t="s">
        <v>1256</v>
      </c>
      <c r="E583" s="87"/>
      <c r="F583" s="2" t="s">
        <v>1180</v>
      </c>
      <c r="G583" s="35">
        <v>12</v>
      </c>
      <c r="H583" s="61">
        <v>0</v>
      </c>
      <c r="I583" s="35">
        <f t="shared" si="83"/>
        <v>0</v>
      </c>
      <c r="K583" s="51"/>
      <c r="Z583" s="35">
        <f t="shared" si="84"/>
        <v>0</v>
      </c>
      <c r="AB583" s="35">
        <f t="shared" si="85"/>
        <v>0</v>
      </c>
      <c r="AC583" s="35">
        <f t="shared" si="86"/>
        <v>0</v>
      </c>
      <c r="AD583" s="35">
        <f t="shared" si="87"/>
        <v>0</v>
      </c>
      <c r="AE583" s="35">
        <f t="shared" si="88"/>
        <v>0</v>
      </c>
      <c r="AF583" s="35">
        <f t="shared" si="89"/>
        <v>0</v>
      </c>
      <c r="AG583" s="35">
        <f t="shared" si="90"/>
        <v>0</v>
      </c>
      <c r="AH583" s="35">
        <f t="shared" si="91"/>
        <v>0</v>
      </c>
      <c r="AI583" s="46" t="s">
        <v>96</v>
      </c>
      <c r="AJ583" s="35">
        <f t="shared" si="92"/>
        <v>0</v>
      </c>
      <c r="AK583" s="35">
        <f t="shared" si="93"/>
        <v>0</v>
      </c>
      <c r="AL583" s="35">
        <f t="shared" si="94"/>
        <v>0</v>
      </c>
      <c r="AN583" s="35">
        <v>21</v>
      </c>
      <c r="AO583" s="35">
        <f t="shared" si="95"/>
        <v>0</v>
      </c>
      <c r="AP583" s="35">
        <f t="shared" si="96"/>
        <v>0</v>
      </c>
      <c r="AQ583" s="62" t="s">
        <v>136</v>
      </c>
      <c r="AV583" s="35">
        <f t="shared" si="97"/>
        <v>0</v>
      </c>
      <c r="AW583" s="35">
        <f t="shared" si="98"/>
        <v>0</v>
      </c>
      <c r="AX583" s="35">
        <f t="shared" si="99"/>
        <v>0</v>
      </c>
      <c r="AY583" s="62" t="s">
        <v>1244</v>
      </c>
      <c r="AZ583" s="62" t="s">
        <v>1172</v>
      </c>
      <c r="BA583" s="46" t="s">
        <v>1173</v>
      </c>
      <c r="BC583" s="35">
        <f t="shared" si="100"/>
        <v>0</v>
      </c>
      <c r="BD583" s="35">
        <f t="shared" si="101"/>
        <v>0</v>
      </c>
      <c r="BE583" s="35">
        <v>0</v>
      </c>
      <c r="BF583" s="35">
        <f>583</f>
        <v>583</v>
      </c>
      <c r="BH583" s="35">
        <f t="shared" si="102"/>
        <v>0</v>
      </c>
      <c r="BI583" s="35">
        <f t="shared" si="103"/>
        <v>0</v>
      </c>
      <c r="BJ583" s="35">
        <f t="shared" si="104"/>
        <v>0</v>
      </c>
      <c r="BK583" s="62" t="s">
        <v>135</v>
      </c>
      <c r="BL583" s="35"/>
      <c r="BW583" s="35">
        <v>21</v>
      </c>
      <c r="BX583" s="3" t="s">
        <v>1256</v>
      </c>
    </row>
    <row r="584" spans="1:76">
      <c r="A584" s="1" t="s">
        <v>1257</v>
      </c>
      <c r="B584" s="2" t="s">
        <v>96</v>
      </c>
      <c r="C584" s="2" t="s">
        <v>1258</v>
      </c>
      <c r="D584" s="92" t="s">
        <v>1259</v>
      </c>
      <c r="E584" s="87"/>
      <c r="F584" s="2" t="s">
        <v>1180</v>
      </c>
      <c r="G584" s="35">
        <v>13</v>
      </c>
      <c r="H584" s="61">
        <v>0</v>
      </c>
      <c r="I584" s="35">
        <f t="shared" si="83"/>
        <v>0</v>
      </c>
      <c r="K584" s="51"/>
      <c r="Z584" s="35">
        <f t="shared" si="84"/>
        <v>0</v>
      </c>
      <c r="AB584" s="35">
        <f t="shared" si="85"/>
        <v>0</v>
      </c>
      <c r="AC584" s="35">
        <f t="shared" si="86"/>
        <v>0</v>
      </c>
      <c r="AD584" s="35">
        <f t="shared" si="87"/>
        <v>0</v>
      </c>
      <c r="AE584" s="35">
        <f t="shared" si="88"/>
        <v>0</v>
      </c>
      <c r="AF584" s="35">
        <f t="shared" si="89"/>
        <v>0</v>
      </c>
      <c r="AG584" s="35">
        <f t="shared" si="90"/>
        <v>0</v>
      </c>
      <c r="AH584" s="35">
        <f t="shared" si="91"/>
        <v>0</v>
      </c>
      <c r="AI584" s="46" t="s">
        <v>96</v>
      </c>
      <c r="AJ584" s="35">
        <f t="shared" si="92"/>
        <v>0</v>
      </c>
      <c r="AK584" s="35">
        <f t="shared" si="93"/>
        <v>0</v>
      </c>
      <c r="AL584" s="35">
        <f t="shared" si="94"/>
        <v>0</v>
      </c>
      <c r="AN584" s="35">
        <v>21</v>
      </c>
      <c r="AO584" s="35">
        <f t="shared" si="95"/>
        <v>0</v>
      </c>
      <c r="AP584" s="35">
        <f t="shared" si="96"/>
        <v>0</v>
      </c>
      <c r="AQ584" s="62" t="s">
        <v>136</v>
      </c>
      <c r="AV584" s="35">
        <f t="shared" si="97"/>
        <v>0</v>
      </c>
      <c r="AW584" s="35">
        <f t="shared" si="98"/>
        <v>0</v>
      </c>
      <c r="AX584" s="35">
        <f t="shared" si="99"/>
        <v>0</v>
      </c>
      <c r="AY584" s="62" t="s">
        <v>1244</v>
      </c>
      <c r="AZ584" s="62" t="s">
        <v>1172</v>
      </c>
      <c r="BA584" s="46" t="s">
        <v>1173</v>
      </c>
      <c r="BC584" s="35">
        <f t="shared" si="100"/>
        <v>0</v>
      </c>
      <c r="BD584" s="35">
        <f t="shared" si="101"/>
        <v>0</v>
      </c>
      <c r="BE584" s="35">
        <v>0</v>
      </c>
      <c r="BF584" s="35">
        <f>584</f>
        <v>584</v>
      </c>
      <c r="BH584" s="35">
        <f t="shared" si="102"/>
        <v>0</v>
      </c>
      <c r="BI584" s="35">
        <f t="shared" si="103"/>
        <v>0</v>
      </c>
      <c r="BJ584" s="35">
        <f t="shared" si="104"/>
        <v>0</v>
      </c>
      <c r="BK584" s="62" t="s">
        <v>135</v>
      </c>
      <c r="BL584" s="35"/>
      <c r="BW584" s="35">
        <v>21</v>
      </c>
      <c r="BX584" s="3" t="s">
        <v>1259</v>
      </c>
    </row>
    <row r="585" spans="1:76">
      <c r="A585" s="1" t="s">
        <v>1260</v>
      </c>
      <c r="B585" s="2" t="s">
        <v>96</v>
      </c>
      <c r="C585" s="2" t="s">
        <v>1261</v>
      </c>
      <c r="D585" s="92" t="s">
        <v>1262</v>
      </c>
      <c r="E585" s="87"/>
      <c r="F585" s="2" t="s">
        <v>1180</v>
      </c>
      <c r="G585" s="35">
        <v>6</v>
      </c>
      <c r="H585" s="61">
        <v>0</v>
      </c>
      <c r="I585" s="35">
        <f t="shared" si="83"/>
        <v>0</v>
      </c>
      <c r="K585" s="51"/>
      <c r="Z585" s="35">
        <f t="shared" si="84"/>
        <v>0</v>
      </c>
      <c r="AB585" s="35">
        <f t="shared" si="85"/>
        <v>0</v>
      </c>
      <c r="AC585" s="35">
        <f t="shared" si="86"/>
        <v>0</v>
      </c>
      <c r="AD585" s="35">
        <f t="shared" si="87"/>
        <v>0</v>
      </c>
      <c r="AE585" s="35">
        <f t="shared" si="88"/>
        <v>0</v>
      </c>
      <c r="AF585" s="35">
        <f t="shared" si="89"/>
        <v>0</v>
      </c>
      <c r="AG585" s="35">
        <f t="shared" si="90"/>
        <v>0</v>
      </c>
      <c r="AH585" s="35">
        <f t="shared" si="91"/>
        <v>0</v>
      </c>
      <c r="AI585" s="46" t="s">
        <v>96</v>
      </c>
      <c r="AJ585" s="35">
        <f t="shared" si="92"/>
        <v>0</v>
      </c>
      <c r="AK585" s="35">
        <f t="shared" si="93"/>
        <v>0</v>
      </c>
      <c r="AL585" s="35">
        <f t="shared" si="94"/>
        <v>0</v>
      </c>
      <c r="AN585" s="35">
        <v>21</v>
      </c>
      <c r="AO585" s="35">
        <f t="shared" si="95"/>
        <v>0</v>
      </c>
      <c r="AP585" s="35">
        <f t="shared" si="96"/>
        <v>0</v>
      </c>
      <c r="AQ585" s="62" t="s">
        <v>136</v>
      </c>
      <c r="AV585" s="35">
        <f t="shared" si="97"/>
        <v>0</v>
      </c>
      <c r="AW585" s="35">
        <f t="shared" si="98"/>
        <v>0</v>
      </c>
      <c r="AX585" s="35">
        <f t="shared" si="99"/>
        <v>0</v>
      </c>
      <c r="AY585" s="62" t="s">
        <v>1244</v>
      </c>
      <c r="AZ585" s="62" t="s">
        <v>1172</v>
      </c>
      <c r="BA585" s="46" t="s">
        <v>1173</v>
      </c>
      <c r="BC585" s="35">
        <f t="shared" si="100"/>
        <v>0</v>
      </c>
      <c r="BD585" s="35">
        <f t="shared" si="101"/>
        <v>0</v>
      </c>
      <c r="BE585" s="35">
        <v>0</v>
      </c>
      <c r="BF585" s="35">
        <f>585</f>
        <v>585</v>
      </c>
      <c r="BH585" s="35">
        <f t="shared" si="102"/>
        <v>0</v>
      </c>
      <c r="BI585" s="35">
        <f t="shared" si="103"/>
        <v>0</v>
      </c>
      <c r="BJ585" s="35">
        <f t="shared" si="104"/>
        <v>0</v>
      </c>
      <c r="BK585" s="62" t="s">
        <v>135</v>
      </c>
      <c r="BL585" s="35"/>
      <c r="BW585" s="35">
        <v>21</v>
      </c>
      <c r="BX585" s="3" t="s">
        <v>1262</v>
      </c>
    </row>
    <row r="586" spans="1:76">
      <c r="A586" s="1" t="s">
        <v>1263</v>
      </c>
      <c r="B586" s="2" t="s">
        <v>96</v>
      </c>
      <c r="C586" s="2" t="s">
        <v>1264</v>
      </c>
      <c r="D586" s="92" t="s">
        <v>1265</v>
      </c>
      <c r="E586" s="87"/>
      <c r="F586" s="2" t="s">
        <v>1180</v>
      </c>
      <c r="G586" s="35">
        <v>1</v>
      </c>
      <c r="H586" s="61">
        <v>0</v>
      </c>
      <c r="I586" s="35">
        <f t="shared" si="83"/>
        <v>0</v>
      </c>
      <c r="K586" s="51"/>
      <c r="Z586" s="35">
        <f t="shared" si="84"/>
        <v>0</v>
      </c>
      <c r="AB586" s="35">
        <f t="shared" si="85"/>
        <v>0</v>
      </c>
      <c r="AC586" s="35">
        <f t="shared" si="86"/>
        <v>0</v>
      </c>
      <c r="AD586" s="35">
        <f t="shared" si="87"/>
        <v>0</v>
      </c>
      <c r="AE586" s="35">
        <f t="shared" si="88"/>
        <v>0</v>
      </c>
      <c r="AF586" s="35">
        <f t="shared" si="89"/>
        <v>0</v>
      </c>
      <c r="AG586" s="35">
        <f t="shared" si="90"/>
        <v>0</v>
      </c>
      <c r="AH586" s="35">
        <f t="shared" si="91"/>
        <v>0</v>
      </c>
      <c r="AI586" s="46" t="s">
        <v>96</v>
      </c>
      <c r="AJ586" s="35">
        <f t="shared" si="92"/>
        <v>0</v>
      </c>
      <c r="AK586" s="35">
        <f t="shared" si="93"/>
        <v>0</v>
      </c>
      <c r="AL586" s="35">
        <f t="shared" si="94"/>
        <v>0</v>
      </c>
      <c r="AN586" s="35">
        <v>21</v>
      </c>
      <c r="AO586" s="35">
        <f t="shared" si="95"/>
        <v>0</v>
      </c>
      <c r="AP586" s="35">
        <f t="shared" si="96"/>
        <v>0</v>
      </c>
      <c r="AQ586" s="62" t="s">
        <v>136</v>
      </c>
      <c r="AV586" s="35">
        <f t="shared" si="97"/>
        <v>0</v>
      </c>
      <c r="AW586" s="35">
        <f t="shared" si="98"/>
        <v>0</v>
      </c>
      <c r="AX586" s="35">
        <f t="shared" si="99"/>
        <v>0</v>
      </c>
      <c r="AY586" s="62" t="s">
        <v>1244</v>
      </c>
      <c r="AZ586" s="62" t="s">
        <v>1172</v>
      </c>
      <c r="BA586" s="46" t="s">
        <v>1173</v>
      </c>
      <c r="BC586" s="35">
        <f t="shared" si="100"/>
        <v>0</v>
      </c>
      <c r="BD586" s="35">
        <f t="shared" si="101"/>
        <v>0</v>
      </c>
      <c r="BE586" s="35">
        <v>0</v>
      </c>
      <c r="BF586" s="35">
        <f>586</f>
        <v>586</v>
      </c>
      <c r="BH586" s="35">
        <f t="shared" si="102"/>
        <v>0</v>
      </c>
      <c r="BI586" s="35">
        <f t="shared" si="103"/>
        <v>0</v>
      </c>
      <c r="BJ586" s="35">
        <f t="shared" si="104"/>
        <v>0</v>
      </c>
      <c r="BK586" s="62" t="s">
        <v>135</v>
      </c>
      <c r="BL586" s="35"/>
      <c r="BW586" s="35">
        <v>21</v>
      </c>
      <c r="BX586" s="3" t="s">
        <v>1265</v>
      </c>
    </row>
    <row r="587" spans="1:76">
      <c r="A587" s="1" t="s">
        <v>1266</v>
      </c>
      <c r="B587" s="2" t="s">
        <v>96</v>
      </c>
      <c r="C587" s="2" t="s">
        <v>1267</v>
      </c>
      <c r="D587" s="92" t="s">
        <v>1268</v>
      </c>
      <c r="E587" s="87"/>
      <c r="F587" s="2" t="s">
        <v>1180</v>
      </c>
      <c r="G587" s="35">
        <v>1</v>
      </c>
      <c r="H587" s="61">
        <v>0</v>
      </c>
      <c r="I587" s="35">
        <f t="shared" si="83"/>
        <v>0</v>
      </c>
      <c r="K587" s="51"/>
      <c r="Z587" s="35">
        <f t="shared" si="84"/>
        <v>0</v>
      </c>
      <c r="AB587" s="35">
        <f t="shared" si="85"/>
        <v>0</v>
      </c>
      <c r="AC587" s="35">
        <f t="shared" si="86"/>
        <v>0</v>
      </c>
      <c r="AD587" s="35">
        <f t="shared" si="87"/>
        <v>0</v>
      </c>
      <c r="AE587" s="35">
        <f t="shared" si="88"/>
        <v>0</v>
      </c>
      <c r="AF587" s="35">
        <f t="shared" si="89"/>
        <v>0</v>
      </c>
      <c r="AG587" s="35">
        <f t="shared" si="90"/>
        <v>0</v>
      </c>
      <c r="AH587" s="35">
        <f t="shared" si="91"/>
        <v>0</v>
      </c>
      <c r="AI587" s="46" t="s">
        <v>96</v>
      </c>
      <c r="AJ587" s="35">
        <f t="shared" si="92"/>
        <v>0</v>
      </c>
      <c r="AK587" s="35">
        <f t="shared" si="93"/>
        <v>0</v>
      </c>
      <c r="AL587" s="35">
        <f t="shared" si="94"/>
        <v>0</v>
      </c>
      <c r="AN587" s="35">
        <v>21</v>
      </c>
      <c r="AO587" s="35">
        <f t="shared" si="95"/>
        <v>0</v>
      </c>
      <c r="AP587" s="35">
        <f t="shared" si="96"/>
        <v>0</v>
      </c>
      <c r="AQ587" s="62" t="s">
        <v>136</v>
      </c>
      <c r="AV587" s="35">
        <f t="shared" si="97"/>
        <v>0</v>
      </c>
      <c r="AW587" s="35">
        <f t="shared" si="98"/>
        <v>0</v>
      </c>
      <c r="AX587" s="35">
        <f t="shared" si="99"/>
        <v>0</v>
      </c>
      <c r="AY587" s="62" t="s">
        <v>1244</v>
      </c>
      <c r="AZ587" s="62" t="s">
        <v>1172</v>
      </c>
      <c r="BA587" s="46" t="s">
        <v>1173</v>
      </c>
      <c r="BC587" s="35">
        <f t="shared" si="100"/>
        <v>0</v>
      </c>
      <c r="BD587" s="35">
        <f t="shared" si="101"/>
        <v>0</v>
      </c>
      <c r="BE587" s="35">
        <v>0</v>
      </c>
      <c r="BF587" s="35">
        <f>587</f>
        <v>587</v>
      </c>
      <c r="BH587" s="35">
        <f t="shared" si="102"/>
        <v>0</v>
      </c>
      <c r="BI587" s="35">
        <f t="shared" si="103"/>
        <v>0</v>
      </c>
      <c r="BJ587" s="35">
        <f t="shared" si="104"/>
        <v>0</v>
      </c>
      <c r="BK587" s="62" t="s">
        <v>135</v>
      </c>
      <c r="BL587" s="35"/>
      <c r="BW587" s="35">
        <v>21</v>
      </c>
      <c r="BX587" s="3" t="s">
        <v>1268</v>
      </c>
    </row>
    <row r="588" spans="1:76">
      <c r="A588" s="1" t="s">
        <v>1269</v>
      </c>
      <c r="B588" s="2" t="s">
        <v>96</v>
      </c>
      <c r="C588" s="2" t="s">
        <v>1270</v>
      </c>
      <c r="D588" s="92" t="s">
        <v>1271</v>
      </c>
      <c r="E588" s="87"/>
      <c r="F588" s="2" t="s">
        <v>1180</v>
      </c>
      <c r="G588" s="35">
        <v>1</v>
      </c>
      <c r="H588" s="61">
        <v>0</v>
      </c>
      <c r="I588" s="35">
        <f t="shared" si="83"/>
        <v>0</v>
      </c>
      <c r="K588" s="51"/>
      <c r="Z588" s="35">
        <f t="shared" si="84"/>
        <v>0</v>
      </c>
      <c r="AB588" s="35">
        <f t="shared" si="85"/>
        <v>0</v>
      </c>
      <c r="AC588" s="35">
        <f t="shared" si="86"/>
        <v>0</v>
      </c>
      <c r="AD588" s="35">
        <f t="shared" si="87"/>
        <v>0</v>
      </c>
      <c r="AE588" s="35">
        <f t="shared" si="88"/>
        <v>0</v>
      </c>
      <c r="AF588" s="35">
        <f t="shared" si="89"/>
        <v>0</v>
      </c>
      <c r="AG588" s="35">
        <f t="shared" si="90"/>
        <v>0</v>
      </c>
      <c r="AH588" s="35">
        <f t="shared" si="91"/>
        <v>0</v>
      </c>
      <c r="AI588" s="46" t="s">
        <v>96</v>
      </c>
      <c r="AJ588" s="35">
        <f t="shared" si="92"/>
        <v>0</v>
      </c>
      <c r="AK588" s="35">
        <f t="shared" si="93"/>
        <v>0</v>
      </c>
      <c r="AL588" s="35">
        <f t="shared" si="94"/>
        <v>0</v>
      </c>
      <c r="AN588" s="35">
        <v>21</v>
      </c>
      <c r="AO588" s="35">
        <f t="shared" si="95"/>
        <v>0</v>
      </c>
      <c r="AP588" s="35">
        <f t="shared" si="96"/>
        <v>0</v>
      </c>
      <c r="AQ588" s="62" t="s">
        <v>136</v>
      </c>
      <c r="AV588" s="35">
        <f t="shared" si="97"/>
        <v>0</v>
      </c>
      <c r="AW588" s="35">
        <f t="shared" si="98"/>
        <v>0</v>
      </c>
      <c r="AX588" s="35">
        <f t="shared" si="99"/>
        <v>0</v>
      </c>
      <c r="AY588" s="62" t="s">
        <v>1244</v>
      </c>
      <c r="AZ588" s="62" t="s">
        <v>1172</v>
      </c>
      <c r="BA588" s="46" t="s">
        <v>1173</v>
      </c>
      <c r="BC588" s="35">
        <f t="shared" si="100"/>
        <v>0</v>
      </c>
      <c r="BD588" s="35">
        <f t="shared" si="101"/>
        <v>0</v>
      </c>
      <c r="BE588" s="35">
        <v>0</v>
      </c>
      <c r="BF588" s="35">
        <f>588</f>
        <v>588</v>
      </c>
      <c r="BH588" s="35">
        <f t="shared" si="102"/>
        <v>0</v>
      </c>
      <c r="BI588" s="35">
        <f t="shared" si="103"/>
        <v>0</v>
      </c>
      <c r="BJ588" s="35">
        <f t="shared" si="104"/>
        <v>0</v>
      </c>
      <c r="BK588" s="62" t="s">
        <v>135</v>
      </c>
      <c r="BL588" s="35"/>
      <c r="BW588" s="35">
        <v>21</v>
      </c>
      <c r="BX588" s="3" t="s">
        <v>1271</v>
      </c>
    </row>
    <row r="589" spans="1:76">
      <c r="A589" s="1" t="s">
        <v>1272</v>
      </c>
      <c r="B589" s="2" t="s">
        <v>96</v>
      </c>
      <c r="C589" s="2" t="s">
        <v>1273</v>
      </c>
      <c r="D589" s="92" t="s">
        <v>1274</v>
      </c>
      <c r="E589" s="87"/>
      <c r="F589" s="2" t="s">
        <v>1180</v>
      </c>
      <c r="G589" s="35">
        <v>6</v>
      </c>
      <c r="H589" s="61">
        <v>0</v>
      </c>
      <c r="I589" s="35">
        <f t="shared" si="83"/>
        <v>0</v>
      </c>
      <c r="K589" s="51"/>
      <c r="Z589" s="35">
        <f t="shared" si="84"/>
        <v>0</v>
      </c>
      <c r="AB589" s="35">
        <f t="shared" si="85"/>
        <v>0</v>
      </c>
      <c r="AC589" s="35">
        <f t="shared" si="86"/>
        <v>0</v>
      </c>
      <c r="AD589" s="35">
        <f t="shared" si="87"/>
        <v>0</v>
      </c>
      <c r="AE589" s="35">
        <f t="shared" si="88"/>
        <v>0</v>
      </c>
      <c r="AF589" s="35">
        <f t="shared" si="89"/>
        <v>0</v>
      </c>
      <c r="AG589" s="35">
        <f t="shared" si="90"/>
        <v>0</v>
      </c>
      <c r="AH589" s="35">
        <f t="shared" si="91"/>
        <v>0</v>
      </c>
      <c r="AI589" s="46" t="s">
        <v>96</v>
      </c>
      <c r="AJ589" s="35">
        <f t="shared" si="92"/>
        <v>0</v>
      </c>
      <c r="AK589" s="35">
        <f t="shared" si="93"/>
        <v>0</v>
      </c>
      <c r="AL589" s="35">
        <f t="shared" si="94"/>
        <v>0</v>
      </c>
      <c r="AN589" s="35">
        <v>21</v>
      </c>
      <c r="AO589" s="35">
        <f t="shared" si="95"/>
        <v>0</v>
      </c>
      <c r="AP589" s="35">
        <f t="shared" si="96"/>
        <v>0</v>
      </c>
      <c r="AQ589" s="62" t="s">
        <v>136</v>
      </c>
      <c r="AV589" s="35">
        <f t="shared" si="97"/>
        <v>0</v>
      </c>
      <c r="AW589" s="35">
        <f t="shared" si="98"/>
        <v>0</v>
      </c>
      <c r="AX589" s="35">
        <f t="shared" si="99"/>
        <v>0</v>
      </c>
      <c r="AY589" s="62" t="s">
        <v>1244</v>
      </c>
      <c r="AZ589" s="62" t="s">
        <v>1172</v>
      </c>
      <c r="BA589" s="46" t="s">
        <v>1173</v>
      </c>
      <c r="BC589" s="35">
        <f t="shared" si="100"/>
        <v>0</v>
      </c>
      <c r="BD589" s="35">
        <f t="shared" si="101"/>
        <v>0</v>
      </c>
      <c r="BE589" s="35">
        <v>0</v>
      </c>
      <c r="BF589" s="35">
        <f>589</f>
        <v>589</v>
      </c>
      <c r="BH589" s="35">
        <f t="shared" si="102"/>
        <v>0</v>
      </c>
      <c r="BI589" s="35">
        <f t="shared" si="103"/>
        <v>0</v>
      </c>
      <c r="BJ589" s="35">
        <f t="shared" si="104"/>
        <v>0</v>
      </c>
      <c r="BK589" s="62" t="s">
        <v>135</v>
      </c>
      <c r="BL589" s="35"/>
      <c r="BW589" s="35">
        <v>21</v>
      </c>
      <c r="BX589" s="3" t="s">
        <v>1274</v>
      </c>
    </row>
    <row r="590" spans="1:76">
      <c r="A590" s="1" t="s">
        <v>1275</v>
      </c>
      <c r="B590" s="2" t="s">
        <v>96</v>
      </c>
      <c r="C590" s="2" t="s">
        <v>1276</v>
      </c>
      <c r="D590" s="92" t="s">
        <v>1277</v>
      </c>
      <c r="E590" s="87"/>
      <c r="F590" s="2" t="s">
        <v>1180</v>
      </c>
      <c r="G590" s="35">
        <v>2</v>
      </c>
      <c r="H590" s="61">
        <v>0</v>
      </c>
      <c r="I590" s="35">
        <f t="shared" si="83"/>
        <v>0</v>
      </c>
      <c r="K590" s="51"/>
      <c r="Z590" s="35">
        <f t="shared" si="84"/>
        <v>0</v>
      </c>
      <c r="AB590" s="35">
        <f t="shared" si="85"/>
        <v>0</v>
      </c>
      <c r="AC590" s="35">
        <f t="shared" si="86"/>
        <v>0</v>
      </c>
      <c r="AD590" s="35">
        <f t="shared" si="87"/>
        <v>0</v>
      </c>
      <c r="AE590" s="35">
        <f t="shared" si="88"/>
        <v>0</v>
      </c>
      <c r="AF590" s="35">
        <f t="shared" si="89"/>
        <v>0</v>
      </c>
      <c r="AG590" s="35">
        <f t="shared" si="90"/>
        <v>0</v>
      </c>
      <c r="AH590" s="35">
        <f t="shared" si="91"/>
        <v>0</v>
      </c>
      <c r="AI590" s="46" t="s">
        <v>96</v>
      </c>
      <c r="AJ590" s="35">
        <f t="shared" si="92"/>
        <v>0</v>
      </c>
      <c r="AK590" s="35">
        <f t="shared" si="93"/>
        <v>0</v>
      </c>
      <c r="AL590" s="35">
        <f t="shared" si="94"/>
        <v>0</v>
      </c>
      <c r="AN590" s="35">
        <v>21</v>
      </c>
      <c r="AO590" s="35">
        <f t="shared" si="95"/>
        <v>0</v>
      </c>
      <c r="AP590" s="35">
        <f t="shared" si="96"/>
        <v>0</v>
      </c>
      <c r="AQ590" s="62" t="s">
        <v>136</v>
      </c>
      <c r="AV590" s="35">
        <f t="shared" si="97"/>
        <v>0</v>
      </c>
      <c r="AW590" s="35">
        <f t="shared" si="98"/>
        <v>0</v>
      </c>
      <c r="AX590" s="35">
        <f t="shared" si="99"/>
        <v>0</v>
      </c>
      <c r="AY590" s="62" t="s">
        <v>1244</v>
      </c>
      <c r="AZ590" s="62" t="s">
        <v>1172</v>
      </c>
      <c r="BA590" s="46" t="s">
        <v>1173</v>
      </c>
      <c r="BC590" s="35">
        <f t="shared" si="100"/>
        <v>0</v>
      </c>
      <c r="BD590" s="35">
        <f t="shared" si="101"/>
        <v>0</v>
      </c>
      <c r="BE590" s="35">
        <v>0</v>
      </c>
      <c r="BF590" s="35">
        <f>590</f>
        <v>590</v>
      </c>
      <c r="BH590" s="35">
        <f t="shared" si="102"/>
        <v>0</v>
      </c>
      <c r="BI590" s="35">
        <f t="shared" si="103"/>
        <v>0</v>
      </c>
      <c r="BJ590" s="35">
        <f t="shared" si="104"/>
        <v>0</v>
      </c>
      <c r="BK590" s="62" t="s">
        <v>135</v>
      </c>
      <c r="BL590" s="35"/>
      <c r="BW590" s="35">
        <v>21</v>
      </c>
      <c r="BX590" s="3" t="s">
        <v>1277</v>
      </c>
    </row>
    <row r="591" spans="1:76">
      <c r="A591" s="1" t="s">
        <v>1278</v>
      </c>
      <c r="B591" s="2" t="s">
        <v>96</v>
      </c>
      <c r="C591" s="2" t="s">
        <v>1279</v>
      </c>
      <c r="D591" s="92" t="s">
        <v>1280</v>
      </c>
      <c r="E591" s="87"/>
      <c r="F591" s="2" t="s">
        <v>1180</v>
      </c>
      <c r="G591" s="35">
        <v>4</v>
      </c>
      <c r="H591" s="61">
        <v>0</v>
      </c>
      <c r="I591" s="35">
        <f t="shared" si="83"/>
        <v>0</v>
      </c>
      <c r="K591" s="51"/>
      <c r="Z591" s="35">
        <f t="shared" si="84"/>
        <v>0</v>
      </c>
      <c r="AB591" s="35">
        <f t="shared" si="85"/>
        <v>0</v>
      </c>
      <c r="AC591" s="35">
        <f t="shared" si="86"/>
        <v>0</v>
      </c>
      <c r="AD591" s="35">
        <f t="shared" si="87"/>
        <v>0</v>
      </c>
      <c r="AE591" s="35">
        <f t="shared" si="88"/>
        <v>0</v>
      </c>
      <c r="AF591" s="35">
        <f t="shared" si="89"/>
        <v>0</v>
      </c>
      <c r="AG591" s="35">
        <f t="shared" si="90"/>
        <v>0</v>
      </c>
      <c r="AH591" s="35">
        <f t="shared" si="91"/>
        <v>0</v>
      </c>
      <c r="AI591" s="46" t="s">
        <v>96</v>
      </c>
      <c r="AJ591" s="35">
        <f t="shared" si="92"/>
        <v>0</v>
      </c>
      <c r="AK591" s="35">
        <f t="shared" si="93"/>
        <v>0</v>
      </c>
      <c r="AL591" s="35">
        <f t="shared" si="94"/>
        <v>0</v>
      </c>
      <c r="AN591" s="35">
        <v>21</v>
      </c>
      <c r="AO591" s="35">
        <f t="shared" si="95"/>
        <v>0</v>
      </c>
      <c r="AP591" s="35">
        <f t="shared" si="96"/>
        <v>0</v>
      </c>
      <c r="AQ591" s="62" t="s">
        <v>136</v>
      </c>
      <c r="AV591" s="35">
        <f t="shared" si="97"/>
        <v>0</v>
      </c>
      <c r="AW591" s="35">
        <f t="shared" si="98"/>
        <v>0</v>
      </c>
      <c r="AX591" s="35">
        <f t="shared" si="99"/>
        <v>0</v>
      </c>
      <c r="AY591" s="62" t="s">
        <v>1244</v>
      </c>
      <c r="AZ591" s="62" t="s">
        <v>1172</v>
      </c>
      <c r="BA591" s="46" t="s">
        <v>1173</v>
      </c>
      <c r="BC591" s="35">
        <f t="shared" si="100"/>
        <v>0</v>
      </c>
      <c r="BD591" s="35">
        <f t="shared" si="101"/>
        <v>0</v>
      </c>
      <c r="BE591" s="35">
        <v>0</v>
      </c>
      <c r="BF591" s="35">
        <f>591</f>
        <v>591</v>
      </c>
      <c r="BH591" s="35">
        <f t="shared" si="102"/>
        <v>0</v>
      </c>
      <c r="BI591" s="35">
        <f t="shared" si="103"/>
        <v>0</v>
      </c>
      <c r="BJ591" s="35">
        <f t="shared" si="104"/>
        <v>0</v>
      </c>
      <c r="BK591" s="62" t="s">
        <v>135</v>
      </c>
      <c r="BL591" s="35"/>
      <c r="BW591" s="35">
        <v>21</v>
      </c>
      <c r="BX591" s="3" t="s">
        <v>1280</v>
      </c>
    </row>
    <row r="592" spans="1:76">
      <c r="A592" s="1" t="s">
        <v>1281</v>
      </c>
      <c r="B592" s="2" t="s">
        <v>96</v>
      </c>
      <c r="C592" s="2" t="s">
        <v>1282</v>
      </c>
      <c r="D592" s="92" t="s">
        <v>1283</v>
      </c>
      <c r="E592" s="87"/>
      <c r="F592" s="2" t="s">
        <v>1180</v>
      </c>
      <c r="G592" s="35">
        <v>6</v>
      </c>
      <c r="H592" s="61">
        <v>0</v>
      </c>
      <c r="I592" s="35">
        <f t="shared" si="83"/>
        <v>0</v>
      </c>
      <c r="K592" s="51"/>
      <c r="Z592" s="35">
        <f t="shared" si="84"/>
        <v>0</v>
      </c>
      <c r="AB592" s="35">
        <f t="shared" si="85"/>
        <v>0</v>
      </c>
      <c r="AC592" s="35">
        <f t="shared" si="86"/>
        <v>0</v>
      </c>
      <c r="AD592" s="35">
        <f t="shared" si="87"/>
        <v>0</v>
      </c>
      <c r="AE592" s="35">
        <f t="shared" si="88"/>
        <v>0</v>
      </c>
      <c r="AF592" s="35">
        <f t="shared" si="89"/>
        <v>0</v>
      </c>
      <c r="AG592" s="35">
        <f t="shared" si="90"/>
        <v>0</v>
      </c>
      <c r="AH592" s="35">
        <f t="shared" si="91"/>
        <v>0</v>
      </c>
      <c r="AI592" s="46" t="s">
        <v>96</v>
      </c>
      <c r="AJ592" s="35">
        <f t="shared" si="92"/>
        <v>0</v>
      </c>
      <c r="AK592" s="35">
        <f t="shared" si="93"/>
        <v>0</v>
      </c>
      <c r="AL592" s="35">
        <f t="shared" si="94"/>
        <v>0</v>
      </c>
      <c r="AN592" s="35">
        <v>21</v>
      </c>
      <c r="AO592" s="35">
        <f t="shared" si="95"/>
        <v>0</v>
      </c>
      <c r="AP592" s="35">
        <f t="shared" si="96"/>
        <v>0</v>
      </c>
      <c r="AQ592" s="62" t="s">
        <v>136</v>
      </c>
      <c r="AV592" s="35">
        <f t="shared" si="97"/>
        <v>0</v>
      </c>
      <c r="AW592" s="35">
        <f t="shared" si="98"/>
        <v>0</v>
      </c>
      <c r="AX592" s="35">
        <f t="shared" si="99"/>
        <v>0</v>
      </c>
      <c r="AY592" s="62" t="s">
        <v>1244</v>
      </c>
      <c r="AZ592" s="62" t="s">
        <v>1172</v>
      </c>
      <c r="BA592" s="46" t="s">
        <v>1173</v>
      </c>
      <c r="BC592" s="35">
        <f t="shared" si="100"/>
        <v>0</v>
      </c>
      <c r="BD592" s="35">
        <f t="shared" si="101"/>
        <v>0</v>
      </c>
      <c r="BE592" s="35">
        <v>0</v>
      </c>
      <c r="BF592" s="35">
        <f>592</f>
        <v>592</v>
      </c>
      <c r="BH592" s="35">
        <f t="shared" si="102"/>
        <v>0</v>
      </c>
      <c r="BI592" s="35">
        <f t="shared" si="103"/>
        <v>0</v>
      </c>
      <c r="BJ592" s="35">
        <f t="shared" si="104"/>
        <v>0</v>
      </c>
      <c r="BK592" s="62" t="s">
        <v>135</v>
      </c>
      <c r="BL592" s="35"/>
      <c r="BW592" s="35">
        <v>21</v>
      </c>
      <c r="BX592" s="3" t="s">
        <v>1283</v>
      </c>
    </row>
    <row r="593" spans="1:76">
      <c r="A593" s="1" t="s">
        <v>1284</v>
      </c>
      <c r="B593" s="2" t="s">
        <v>96</v>
      </c>
      <c r="C593" s="2" t="s">
        <v>1285</v>
      </c>
      <c r="D593" s="92" t="s">
        <v>1286</v>
      </c>
      <c r="E593" s="87"/>
      <c r="F593" s="2" t="s">
        <v>277</v>
      </c>
      <c r="G593" s="35">
        <v>35</v>
      </c>
      <c r="H593" s="61">
        <v>0</v>
      </c>
      <c r="I593" s="35">
        <f t="shared" si="83"/>
        <v>0</v>
      </c>
      <c r="K593" s="51"/>
      <c r="Z593" s="35">
        <f t="shared" si="84"/>
        <v>0</v>
      </c>
      <c r="AB593" s="35">
        <f t="shared" si="85"/>
        <v>0</v>
      </c>
      <c r="AC593" s="35">
        <f t="shared" si="86"/>
        <v>0</v>
      </c>
      <c r="AD593" s="35">
        <f t="shared" si="87"/>
        <v>0</v>
      </c>
      <c r="AE593" s="35">
        <f t="shared" si="88"/>
        <v>0</v>
      </c>
      <c r="AF593" s="35">
        <f t="shared" si="89"/>
        <v>0</v>
      </c>
      <c r="AG593" s="35">
        <f t="shared" si="90"/>
        <v>0</v>
      </c>
      <c r="AH593" s="35">
        <f t="shared" si="91"/>
        <v>0</v>
      </c>
      <c r="AI593" s="46" t="s">
        <v>96</v>
      </c>
      <c r="AJ593" s="35">
        <f t="shared" si="92"/>
        <v>0</v>
      </c>
      <c r="AK593" s="35">
        <f t="shared" si="93"/>
        <v>0</v>
      </c>
      <c r="AL593" s="35">
        <f t="shared" si="94"/>
        <v>0</v>
      </c>
      <c r="AN593" s="35">
        <v>21</v>
      </c>
      <c r="AO593" s="35">
        <f t="shared" si="95"/>
        <v>0</v>
      </c>
      <c r="AP593" s="35">
        <f t="shared" si="96"/>
        <v>0</v>
      </c>
      <c r="AQ593" s="62" t="s">
        <v>136</v>
      </c>
      <c r="AV593" s="35">
        <f t="shared" si="97"/>
        <v>0</v>
      </c>
      <c r="AW593" s="35">
        <f t="shared" si="98"/>
        <v>0</v>
      </c>
      <c r="AX593" s="35">
        <f t="shared" si="99"/>
        <v>0</v>
      </c>
      <c r="AY593" s="62" t="s">
        <v>1244</v>
      </c>
      <c r="AZ593" s="62" t="s">
        <v>1172</v>
      </c>
      <c r="BA593" s="46" t="s">
        <v>1173</v>
      </c>
      <c r="BC593" s="35">
        <f t="shared" si="100"/>
        <v>0</v>
      </c>
      <c r="BD593" s="35">
        <f t="shared" si="101"/>
        <v>0</v>
      </c>
      <c r="BE593" s="35">
        <v>0</v>
      </c>
      <c r="BF593" s="35">
        <f>593</f>
        <v>593</v>
      </c>
      <c r="BH593" s="35">
        <f t="shared" si="102"/>
        <v>0</v>
      </c>
      <c r="BI593" s="35">
        <f t="shared" si="103"/>
        <v>0</v>
      </c>
      <c r="BJ593" s="35">
        <f t="shared" si="104"/>
        <v>0</v>
      </c>
      <c r="BK593" s="62" t="s">
        <v>135</v>
      </c>
      <c r="BL593" s="35"/>
      <c r="BW593" s="35">
        <v>21</v>
      </c>
      <c r="BX593" s="3" t="s">
        <v>1286</v>
      </c>
    </row>
    <row r="594" spans="1:76">
      <c r="A594" s="1" t="s">
        <v>1287</v>
      </c>
      <c r="B594" s="2" t="s">
        <v>96</v>
      </c>
      <c r="C594" s="2" t="s">
        <v>1288</v>
      </c>
      <c r="D594" s="92" t="s">
        <v>1289</v>
      </c>
      <c r="E594" s="87"/>
      <c r="F594" s="2" t="s">
        <v>277</v>
      </c>
      <c r="G594" s="35">
        <v>220</v>
      </c>
      <c r="H594" s="61">
        <v>0</v>
      </c>
      <c r="I594" s="35">
        <f t="shared" si="83"/>
        <v>0</v>
      </c>
      <c r="K594" s="51"/>
      <c r="Z594" s="35">
        <f t="shared" si="84"/>
        <v>0</v>
      </c>
      <c r="AB594" s="35">
        <f t="shared" si="85"/>
        <v>0</v>
      </c>
      <c r="AC594" s="35">
        <f t="shared" si="86"/>
        <v>0</v>
      </c>
      <c r="AD594" s="35">
        <f t="shared" si="87"/>
        <v>0</v>
      </c>
      <c r="AE594" s="35">
        <f t="shared" si="88"/>
        <v>0</v>
      </c>
      <c r="AF594" s="35">
        <f t="shared" si="89"/>
        <v>0</v>
      </c>
      <c r="AG594" s="35">
        <f t="shared" si="90"/>
        <v>0</v>
      </c>
      <c r="AH594" s="35">
        <f t="shared" si="91"/>
        <v>0</v>
      </c>
      <c r="AI594" s="46" t="s">
        <v>96</v>
      </c>
      <c r="AJ594" s="35">
        <f t="shared" si="92"/>
        <v>0</v>
      </c>
      <c r="AK594" s="35">
        <f t="shared" si="93"/>
        <v>0</v>
      </c>
      <c r="AL594" s="35">
        <f t="shared" si="94"/>
        <v>0</v>
      </c>
      <c r="AN594" s="35">
        <v>21</v>
      </c>
      <c r="AO594" s="35">
        <f t="shared" si="95"/>
        <v>0</v>
      </c>
      <c r="AP594" s="35">
        <f t="shared" si="96"/>
        <v>0</v>
      </c>
      <c r="AQ594" s="62" t="s">
        <v>136</v>
      </c>
      <c r="AV594" s="35">
        <f t="shared" si="97"/>
        <v>0</v>
      </c>
      <c r="AW594" s="35">
        <f t="shared" si="98"/>
        <v>0</v>
      </c>
      <c r="AX594" s="35">
        <f t="shared" si="99"/>
        <v>0</v>
      </c>
      <c r="AY594" s="62" t="s">
        <v>1244</v>
      </c>
      <c r="AZ594" s="62" t="s">
        <v>1172</v>
      </c>
      <c r="BA594" s="46" t="s">
        <v>1173</v>
      </c>
      <c r="BC594" s="35">
        <f t="shared" si="100"/>
        <v>0</v>
      </c>
      <c r="BD594" s="35">
        <f t="shared" si="101"/>
        <v>0</v>
      </c>
      <c r="BE594" s="35">
        <v>0</v>
      </c>
      <c r="BF594" s="35">
        <f>594</f>
        <v>594</v>
      </c>
      <c r="BH594" s="35">
        <f t="shared" si="102"/>
        <v>0</v>
      </c>
      <c r="BI594" s="35">
        <f t="shared" si="103"/>
        <v>0</v>
      </c>
      <c r="BJ594" s="35">
        <f t="shared" si="104"/>
        <v>0</v>
      </c>
      <c r="BK594" s="62" t="s">
        <v>135</v>
      </c>
      <c r="BL594" s="35"/>
      <c r="BW594" s="35">
        <v>21</v>
      </c>
      <c r="BX594" s="3" t="s">
        <v>1289</v>
      </c>
    </row>
    <row r="595" spans="1:76">
      <c r="A595" s="1" t="s">
        <v>1290</v>
      </c>
      <c r="B595" s="2" t="s">
        <v>96</v>
      </c>
      <c r="C595" s="2" t="s">
        <v>1291</v>
      </c>
      <c r="D595" s="92" t="s">
        <v>1292</v>
      </c>
      <c r="E595" s="87"/>
      <c r="F595" s="2" t="s">
        <v>1180</v>
      </c>
      <c r="G595" s="35">
        <v>24</v>
      </c>
      <c r="H595" s="61">
        <v>0</v>
      </c>
      <c r="I595" s="35">
        <f t="shared" si="83"/>
        <v>0</v>
      </c>
      <c r="K595" s="51"/>
      <c r="Z595" s="35">
        <f t="shared" si="84"/>
        <v>0</v>
      </c>
      <c r="AB595" s="35">
        <f t="shared" si="85"/>
        <v>0</v>
      </c>
      <c r="AC595" s="35">
        <f t="shared" si="86"/>
        <v>0</v>
      </c>
      <c r="AD595" s="35">
        <f t="shared" si="87"/>
        <v>0</v>
      </c>
      <c r="AE595" s="35">
        <f t="shared" si="88"/>
        <v>0</v>
      </c>
      <c r="AF595" s="35">
        <f t="shared" si="89"/>
        <v>0</v>
      </c>
      <c r="AG595" s="35">
        <f t="shared" si="90"/>
        <v>0</v>
      </c>
      <c r="AH595" s="35">
        <f t="shared" si="91"/>
        <v>0</v>
      </c>
      <c r="AI595" s="46" t="s">
        <v>96</v>
      </c>
      <c r="AJ595" s="35">
        <f t="shared" si="92"/>
        <v>0</v>
      </c>
      <c r="AK595" s="35">
        <f t="shared" si="93"/>
        <v>0</v>
      </c>
      <c r="AL595" s="35">
        <f t="shared" si="94"/>
        <v>0</v>
      </c>
      <c r="AN595" s="35">
        <v>21</v>
      </c>
      <c r="AO595" s="35">
        <f t="shared" si="95"/>
        <v>0</v>
      </c>
      <c r="AP595" s="35">
        <f t="shared" si="96"/>
        <v>0</v>
      </c>
      <c r="AQ595" s="62" t="s">
        <v>136</v>
      </c>
      <c r="AV595" s="35">
        <f t="shared" si="97"/>
        <v>0</v>
      </c>
      <c r="AW595" s="35">
        <f t="shared" si="98"/>
        <v>0</v>
      </c>
      <c r="AX595" s="35">
        <f t="shared" si="99"/>
        <v>0</v>
      </c>
      <c r="AY595" s="62" t="s">
        <v>1244</v>
      </c>
      <c r="AZ595" s="62" t="s">
        <v>1172</v>
      </c>
      <c r="BA595" s="46" t="s">
        <v>1173</v>
      </c>
      <c r="BC595" s="35">
        <f t="shared" si="100"/>
        <v>0</v>
      </c>
      <c r="BD595" s="35">
        <f t="shared" si="101"/>
        <v>0</v>
      </c>
      <c r="BE595" s="35">
        <v>0</v>
      </c>
      <c r="BF595" s="35">
        <f>595</f>
        <v>595</v>
      </c>
      <c r="BH595" s="35">
        <f t="shared" si="102"/>
        <v>0</v>
      </c>
      <c r="BI595" s="35">
        <f t="shared" si="103"/>
        <v>0</v>
      </c>
      <c r="BJ595" s="35">
        <f t="shared" si="104"/>
        <v>0</v>
      </c>
      <c r="BK595" s="62" t="s">
        <v>135</v>
      </c>
      <c r="BL595" s="35"/>
      <c r="BW595" s="35">
        <v>21</v>
      </c>
      <c r="BX595" s="3" t="s">
        <v>1292</v>
      </c>
    </row>
    <row r="596" spans="1:76">
      <c r="A596" s="1" t="s">
        <v>1293</v>
      </c>
      <c r="B596" s="2" t="s">
        <v>96</v>
      </c>
      <c r="C596" s="2" t="s">
        <v>1294</v>
      </c>
      <c r="D596" s="92" t="s">
        <v>1295</v>
      </c>
      <c r="E596" s="87"/>
      <c r="F596" s="2" t="s">
        <v>277</v>
      </c>
      <c r="G596" s="35">
        <v>40</v>
      </c>
      <c r="H596" s="61">
        <v>0</v>
      </c>
      <c r="I596" s="35">
        <f t="shared" si="83"/>
        <v>0</v>
      </c>
      <c r="K596" s="51"/>
      <c r="Z596" s="35">
        <f t="shared" si="84"/>
        <v>0</v>
      </c>
      <c r="AB596" s="35">
        <f t="shared" si="85"/>
        <v>0</v>
      </c>
      <c r="AC596" s="35">
        <f t="shared" si="86"/>
        <v>0</v>
      </c>
      <c r="AD596" s="35">
        <f t="shared" si="87"/>
        <v>0</v>
      </c>
      <c r="AE596" s="35">
        <f t="shared" si="88"/>
        <v>0</v>
      </c>
      <c r="AF596" s="35">
        <f t="shared" si="89"/>
        <v>0</v>
      </c>
      <c r="AG596" s="35">
        <f t="shared" si="90"/>
        <v>0</v>
      </c>
      <c r="AH596" s="35">
        <f t="shared" si="91"/>
        <v>0</v>
      </c>
      <c r="AI596" s="46" t="s">
        <v>96</v>
      </c>
      <c r="AJ596" s="35">
        <f t="shared" si="92"/>
        <v>0</v>
      </c>
      <c r="AK596" s="35">
        <f t="shared" si="93"/>
        <v>0</v>
      </c>
      <c r="AL596" s="35">
        <f t="shared" si="94"/>
        <v>0</v>
      </c>
      <c r="AN596" s="35">
        <v>21</v>
      </c>
      <c r="AO596" s="35">
        <f t="shared" si="95"/>
        <v>0</v>
      </c>
      <c r="AP596" s="35">
        <f t="shared" si="96"/>
        <v>0</v>
      </c>
      <c r="AQ596" s="62" t="s">
        <v>136</v>
      </c>
      <c r="AV596" s="35">
        <f t="shared" si="97"/>
        <v>0</v>
      </c>
      <c r="AW596" s="35">
        <f t="shared" si="98"/>
        <v>0</v>
      </c>
      <c r="AX596" s="35">
        <f t="shared" si="99"/>
        <v>0</v>
      </c>
      <c r="AY596" s="62" t="s">
        <v>1244</v>
      </c>
      <c r="AZ596" s="62" t="s">
        <v>1172</v>
      </c>
      <c r="BA596" s="46" t="s">
        <v>1173</v>
      </c>
      <c r="BC596" s="35">
        <f t="shared" si="100"/>
        <v>0</v>
      </c>
      <c r="BD596" s="35">
        <f t="shared" si="101"/>
        <v>0</v>
      </c>
      <c r="BE596" s="35">
        <v>0</v>
      </c>
      <c r="BF596" s="35">
        <f>596</f>
        <v>596</v>
      </c>
      <c r="BH596" s="35">
        <f t="shared" si="102"/>
        <v>0</v>
      </c>
      <c r="BI596" s="35">
        <f t="shared" si="103"/>
        <v>0</v>
      </c>
      <c r="BJ596" s="35">
        <f t="shared" si="104"/>
        <v>0</v>
      </c>
      <c r="BK596" s="62" t="s">
        <v>135</v>
      </c>
      <c r="BL596" s="35"/>
      <c r="BW596" s="35">
        <v>21</v>
      </c>
      <c r="BX596" s="3" t="s">
        <v>1295</v>
      </c>
    </row>
    <row r="597" spans="1:76">
      <c r="A597" s="1" t="s">
        <v>1296</v>
      </c>
      <c r="B597" s="2" t="s">
        <v>96</v>
      </c>
      <c r="C597" s="2" t="s">
        <v>1297</v>
      </c>
      <c r="D597" s="92" t="s">
        <v>1298</v>
      </c>
      <c r="E597" s="87"/>
      <c r="F597" s="2" t="s">
        <v>277</v>
      </c>
      <c r="G597" s="35">
        <v>260</v>
      </c>
      <c r="H597" s="61">
        <v>0</v>
      </c>
      <c r="I597" s="35">
        <f t="shared" si="83"/>
        <v>0</v>
      </c>
      <c r="K597" s="51"/>
      <c r="Z597" s="35">
        <f t="shared" si="84"/>
        <v>0</v>
      </c>
      <c r="AB597" s="35">
        <f t="shared" si="85"/>
        <v>0</v>
      </c>
      <c r="AC597" s="35">
        <f t="shared" si="86"/>
        <v>0</v>
      </c>
      <c r="AD597" s="35">
        <f t="shared" si="87"/>
        <v>0</v>
      </c>
      <c r="AE597" s="35">
        <f t="shared" si="88"/>
        <v>0</v>
      </c>
      <c r="AF597" s="35">
        <f t="shared" si="89"/>
        <v>0</v>
      </c>
      <c r="AG597" s="35">
        <f t="shared" si="90"/>
        <v>0</v>
      </c>
      <c r="AH597" s="35">
        <f t="shared" si="91"/>
        <v>0</v>
      </c>
      <c r="AI597" s="46" t="s">
        <v>96</v>
      </c>
      <c r="AJ597" s="35">
        <f t="shared" si="92"/>
        <v>0</v>
      </c>
      <c r="AK597" s="35">
        <f t="shared" si="93"/>
        <v>0</v>
      </c>
      <c r="AL597" s="35">
        <f t="shared" si="94"/>
        <v>0</v>
      </c>
      <c r="AN597" s="35">
        <v>21</v>
      </c>
      <c r="AO597" s="35">
        <f t="shared" si="95"/>
        <v>0</v>
      </c>
      <c r="AP597" s="35">
        <f t="shared" si="96"/>
        <v>0</v>
      </c>
      <c r="AQ597" s="62" t="s">
        <v>136</v>
      </c>
      <c r="AV597" s="35">
        <f t="shared" si="97"/>
        <v>0</v>
      </c>
      <c r="AW597" s="35">
        <f t="shared" si="98"/>
        <v>0</v>
      </c>
      <c r="AX597" s="35">
        <f t="shared" si="99"/>
        <v>0</v>
      </c>
      <c r="AY597" s="62" t="s">
        <v>1244</v>
      </c>
      <c r="AZ597" s="62" t="s">
        <v>1172</v>
      </c>
      <c r="BA597" s="46" t="s">
        <v>1173</v>
      </c>
      <c r="BC597" s="35">
        <f t="shared" si="100"/>
        <v>0</v>
      </c>
      <c r="BD597" s="35">
        <f t="shared" si="101"/>
        <v>0</v>
      </c>
      <c r="BE597" s="35">
        <v>0</v>
      </c>
      <c r="BF597" s="35">
        <f>597</f>
        <v>597</v>
      </c>
      <c r="BH597" s="35">
        <f t="shared" si="102"/>
        <v>0</v>
      </c>
      <c r="BI597" s="35">
        <f t="shared" si="103"/>
        <v>0</v>
      </c>
      <c r="BJ597" s="35">
        <f t="shared" si="104"/>
        <v>0</v>
      </c>
      <c r="BK597" s="62" t="s">
        <v>135</v>
      </c>
      <c r="BL597" s="35"/>
      <c r="BW597" s="35">
        <v>21</v>
      </c>
      <c r="BX597" s="3" t="s">
        <v>1298</v>
      </c>
    </row>
    <row r="598" spans="1:76">
      <c r="A598" s="1" t="s">
        <v>450</v>
      </c>
      <c r="B598" s="2" t="s">
        <v>96</v>
      </c>
      <c r="C598" s="2" t="s">
        <v>1299</v>
      </c>
      <c r="D598" s="92" t="s">
        <v>1300</v>
      </c>
      <c r="E598" s="87"/>
      <c r="F598" s="2" t="s">
        <v>277</v>
      </c>
      <c r="G598" s="35">
        <v>6</v>
      </c>
      <c r="H598" s="61">
        <v>0</v>
      </c>
      <c r="I598" s="35">
        <f t="shared" si="83"/>
        <v>0</v>
      </c>
      <c r="K598" s="51"/>
      <c r="Z598" s="35">
        <f t="shared" si="84"/>
        <v>0</v>
      </c>
      <c r="AB598" s="35">
        <f t="shared" si="85"/>
        <v>0</v>
      </c>
      <c r="AC598" s="35">
        <f t="shared" si="86"/>
        <v>0</v>
      </c>
      <c r="AD598" s="35">
        <f t="shared" si="87"/>
        <v>0</v>
      </c>
      <c r="AE598" s="35">
        <f t="shared" si="88"/>
        <v>0</v>
      </c>
      <c r="AF598" s="35">
        <f t="shared" si="89"/>
        <v>0</v>
      </c>
      <c r="AG598" s="35">
        <f t="shared" si="90"/>
        <v>0</v>
      </c>
      <c r="AH598" s="35">
        <f t="shared" si="91"/>
        <v>0</v>
      </c>
      <c r="AI598" s="46" t="s">
        <v>96</v>
      </c>
      <c r="AJ598" s="35">
        <f t="shared" si="92"/>
        <v>0</v>
      </c>
      <c r="AK598" s="35">
        <f t="shared" si="93"/>
        <v>0</v>
      </c>
      <c r="AL598" s="35">
        <f t="shared" si="94"/>
        <v>0</v>
      </c>
      <c r="AN598" s="35">
        <v>21</v>
      </c>
      <c r="AO598" s="35">
        <f t="shared" si="95"/>
        <v>0</v>
      </c>
      <c r="AP598" s="35">
        <f t="shared" si="96"/>
        <v>0</v>
      </c>
      <c r="AQ598" s="62" t="s">
        <v>136</v>
      </c>
      <c r="AV598" s="35">
        <f t="shared" si="97"/>
        <v>0</v>
      </c>
      <c r="AW598" s="35">
        <f t="shared" si="98"/>
        <v>0</v>
      </c>
      <c r="AX598" s="35">
        <f t="shared" si="99"/>
        <v>0</v>
      </c>
      <c r="AY598" s="62" t="s">
        <v>1244</v>
      </c>
      <c r="AZ598" s="62" t="s">
        <v>1172</v>
      </c>
      <c r="BA598" s="46" t="s">
        <v>1173</v>
      </c>
      <c r="BC598" s="35">
        <f t="shared" si="100"/>
        <v>0</v>
      </c>
      <c r="BD598" s="35">
        <f t="shared" si="101"/>
        <v>0</v>
      </c>
      <c r="BE598" s="35">
        <v>0</v>
      </c>
      <c r="BF598" s="35">
        <f>598</f>
        <v>598</v>
      </c>
      <c r="BH598" s="35">
        <f t="shared" si="102"/>
        <v>0</v>
      </c>
      <c r="BI598" s="35">
        <f t="shared" si="103"/>
        <v>0</v>
      </c>
      <c r="BJ598" s="35">
        <f t="shared" si="104"/>
        <v>0</v>
      </c>
      <c r="BK598" s="62" t="s">
        <v>135</v>
      </c>
      <c r="BL598" s="35"/>
      <c r="BW598" s="35">
        <v>21</v>
      </c>
      <c r="BX598" s="3" t="s">
        <v>1300</v>
      </c>
    </row>
    <row r="599" spans="1:76">
      <c r="A599" s="1" t="s">
        <v>1301</v>
      </c>
      <c r="B599" s="2" t="s">
        <v>96</v>
      </c>
      <c r="C599" s="2" t="s">
        <v>1302</v>
      </c>
      <c r="D599" s="92" t="s">
        <v>1303</v>
      </c>
      <c r="E599" s="87"/>
      <c r="F599" s="2" t="s">
        <v>1219</v>
      </c>
      <c r="G599" s="35">
        <v>1</v>
      </c>
      <c r="H599" s="61">
        <v>0</v>
      </c>
      <c r="I599" s="35">
        <f t="shared" si="83"/>
        <v>0</v>
      </c>
      <c r="K599" s="51"/>
      <c r="Z599" s="35">
        <f t="shared" si="84"/>
        <v>0</v>
      </c>
      <c r="AB599" s="35">
        <f t="shared" si="85"/>
        <v>0</v>
      </c>
      <c r="AC599" s="35">
        <f t="shared" si="86"/>
        <v>0</v>
      </c>
      <c r="AD599" s="35">
        <f t="shared" si="87"/>
        <v>0</v>
      </c>
      <c r="AE599" s="35">
        <f t="shared" si="88"/>
        <v>0</v>
      </c>
      <c r="AF599" s="35">
        <f t="shared" si="89"/>
        <v>0</v>
      </c>
      <c r="AG599" s="35">
        <f t="shared" si="90"/>
        <v>0</v>
      </c>
      <c r="AH599" s="35">
        <f t="shared" si="91"/>
        <v>0</v>
      </c>
      <c r="AI599" s="46" t="s">
        <v>96</v>
      </c>
      <c r="AJ599" s="35">
        <f t="shared" si="92"/>
        <v>0</v>
      </c>
      <c r="AK599" s="35">
        <f t="shared" si="93"/>
        <v>0</v>
      </c>
      <c r="AL599" s="35">
        <f t="shared" si="94"/>
        <v>0</v>
      </c>
      <c r="AN599" s="35">
        <v>21</v>
      </c>
      <c r="AO599" s="35">
        <f t="shared" si="95"/>
        <v>0</v>
      </c>
      <c r="AP599" s="35">
        <f t="shared" si="96"/>
        <v>0</v>
      </c>
      <c r="AQ599" s="62" t="s">
        <v>136</v>
      </c>
      <c r="AV599" s="35">
        <f t="shared" si="97"/>
        <v>0</v>
      </c>
      <c r="AW599" s="35">
        <f t="shared" si="98"/>
        <v>0</v>
      </c>
      <c r="AX599" s="35">
        <f t="shared" si="99"/>
        <v>0</v>
      </c>
      <c r="AY599" s="62" t="s">
        <v>1244</v>
      </c>
      <c r="AZ599" s="62" t="s">
        <v>1172</v>
      </c>
      <c r="BA599" s="46" t="s">
        <v>1173</v>
      </c>
      <c r="BC599" s="35">
        <f t="shared" si="100"/>
        <v>0</v>
      </c>
      <c r="BD599" s="35">
        <f t="shared" si="101"/>
        <v>0</v>
      </c>
      <c r="BE599" s="35">
        <v>0</v>
      </c>
      <c r="BF599" s="35">
        <f>599</f>
        <v>599</v>
      </c>
      <c r="BH599" s="35">
        <f t="shared" si="102"/>
        <v>0</v>
      </c>
      <c r="BI599" s="35">
        <f t="shared" si="103"/>
        <v>0</v>
      </c>
      <c r="BJ599" s="35">
        <f t="shared" si="104"/>
        <v>0</v>
      </c>
      <c r="BK599" s="62" t="s">
        <v>135</v>
      </c>
      <c r="BL599" s="35"/>
      <c r="BW599" s="35">
        <v>21</v>
      </c>
      <c r="BX599" s="3" t="s">
        <v>1303</v>
      </c>
    </row>
    <row r="600" spans="1:76">
      <c r="A600" s="1" t="s">
        <v>1304</v>
      </c>
      <c r="B600" s="2" t="s">
        <v>96</v>
      </c>
      <c r="C600" s="2" t="s">
        <v>1305</v>
      </c>
      <c r="D600" s="92" t="s">
        <v>1306</v>
      </c>
      <c r="E600" s="87"/>
      <c r="F600" s="2" t="s">
        <v>1307</v>
      </c>
      <c r="G600" s="35">
        <v>2</v>
      </c>
      <c r="H600" s="61">
        <v>0</v>
      </c>
      <c r="I600" s="35">
        <f t="shared" si="83"/>
        <v>0</v>
      </c>
      <c r="K600" s="51"/>
      <c r="Z600" s="35">
        <f t="shared" si="84"/>
        <v>0</v>
      </c>
      <c r="AB600" s="35">
        <f t="shared" si="85"/>
        <v>0</v>
      </c>
      <c r="AC600" s="35">
        <f t="shared" si="86"/>
        <v>0</v>
      </c>
      <c r="AD600" s="35">
        <f t="shared" si="87"/>
        <v>0</v>
      </c>
      <c r="AE600" s="35">
        <f t="shared" si="88"/>
        <v>0</v>
      </c>
      <c r="AF600" s="35">
        <f t="shared" si="89"/>
        <v>0</v>
      </c>
      <c r="AG600" s="35">
        <f t="shared" si="90"/>
        <v>0</v>
      </c>
      <c r="AH600" s="35">
        <f t="shared" si="91"/>
        <v>0</v>
      </c>
      <c r="AI600" s="46" t="s">
        <v>96</v>
      </c>
      <c r="AJ600" s="35">
        <f t="shared" si="92"/>
        <v>0</v>
      </c>
      <c r="AK600" s="35">
        <f t="shared" si="93"/>
        <v>0</v>
      </c>
      <c r="AL600" s="35">
        <f t="shared" si="94"/>
        <v>0</v>
      </c>
      <c r="AN600" s="35">
        <v>21</v>
      </c>
      <c r="AO600" s="35">
        <f t="shared" si="95"/>
        <v>0</v>
      </c>
      <c r="AP600" s="35">
        <f t="shared" si="96"/>
        <v>0</v>
      </c>
      <c r="AQ600" s="62" t="s">
        <v>127</v>
      </c>
      <c r="AV600" s="35">
        <f t="shared" si="97"/>
        <v>0</v>
      </c>
      <c r="AW600" s="35">
        <f t="shared" si="98"/>
        <v>0</v>
      </c>
      <c r="AX600" s="35">
        <f t="shared" si="99"/>
        <v>0</v>
      </c>
      <c r="AY600" s="62" t="s">
        <v>1244</v>
      </c>
      <c r="AZ600" s="62" t="s">
        <v>1172</v>
      </c>
      <c r="BA600" s="46" t="s">
        <v>1173</v>
      </c>
      <c r="BC600" s="35">
        <f t="shared" si="100"/>
        <v>0</v>
      </c>
      <c r="BD600" s="35">
        <f t="shared" si="101"/>
        <v>0</v>
      </c>
      <c r="BE600" s="35">
        <v>0</v>
      </c>
      <c r="BF600" s="35">
        <f>600</f>
        <v>600</v>
      </c>
      <c r="BH600" s="35">
        <f t="shared" si="102"/>
        <v>0</v>
      </c>
      <c r="BI600" s="35">
        <f t="shared" si="103"/>
        <v>0</v>
      </c>
      <c r="BJ600" s="35">
        <f t="shared" si="104"/>
        <v>0</v>
      </c>
      <c r="BK600" s="62" t="s">
        <v>135</v>
      </c>
      <c r="BL600" s="35"/>
      <c r="BW600" s="35">
        <v>21</v>
      </c>
      <c r="BX600" s="3" t="s">
        <v>1306</v>
      </c>
    </row>
    <row r="601" spans="1:76">
      <c r="A601" s="1" t="s">
        <v>1308</v>
      </c>
      <c r="B601" s="2" t="s">
        <v>96</v>
      </c>
      <c r="C601" s="2" t="s">
        <v>1309</v>
      </c>
      <c r="D601" s="92" t="s">
        <v>1310</v>
      </c>
      <c r="E601" s="87"/>
      <c r="F601" s="2" t="s">
        <v>1307</v>
      </c>
      <c r="G601" s="35">
        <v>4</v>
      </c>
      <c r="H601" s="61">
        <v>0</v>
      </c>
      <c r="I601" s="35">
        <f t="shared" si="83"/>
        <v>0</v>
      </c>
      <c r="K601" s="51"/>
      <c r="Z601" s="35">
        <f t="shared" si="84"/>
        <v>0</v>
      </c>
      <c r="AB601" s="35">
        <f t="shared" si="85"/>
        <v>0</v>
      </c>
      <c r="AC601" s="35">
        <f t="shared" si="86"/>
        <v>0</v>
      </c>
      <c r="AD601" s="35">
        <f t="shared" si="87"/>
        <v>0</v>
      </c>
      <c r="AE601" s="35">
        <f t="shared" si="88"/>
        <v>0</v>
      </c>
      <c r="AF601" s="35">
        <f t="shared" si="89"/>
        <v>0</v>
      </c>
      <c r="AG601" s="35">
        <f t="shared" si="90"/>
        <v>0</v>
      </c>
      <c r="AH601" s="35">
        <f t="shared" si="91"/>
        <v>0</v>
      </c>
      <c r="AI601" s="46" t="s">
        <v>96</v>
      </c>
      <c r="AJ601" s="35">
        <f t="shared" si="92"/>
        <v>0</v>
      </c>
      <c r="AK601" s="35">
        <f t="shared" si="93"/>
        <v>0</v>
      </c>
      <c r="AL601" s="35">
        <f t="shared" si="94"/>
        <v>0</v>
      </c>
      <c r="AN601" s="35">
        <v>21</v>
      </c>
      <c r="AO601" s="35">
        <f t="shared" si="95"/>
        <v>0</v>
      </c>
      <c r="AP601" s="35">
        <f t="shared" si="96"/>
        <v>0</v>
      </c>
      <c r="AQ601" s="62" t="s">
        <v>127</v>
      </c>
      <c r="AV601" s="35">
        <f t="shared" si="97"/>
        <v>0</v>
      </c>
      <c r="AW601" s="35">
        <f t="shared" si="98"/>
        <v>0</v>
      </c>
      <c r="AX601" s="35">
        <f t="shared" si="99"/>
        <v>0</v>
      </c>
      <c r="AY601" s="62" t="s">
        <v>1244</v>
      </c>
      <c r="AZ601" s="62" t="s">
        <v>1172</v>
      </c>
      <c r="BA601" s="46" t="s">
        <v>1173</v>
      </c>
      <c r="BC601" s="35">
        <f t="shared" si="100"/>
        <v>0</v>
      </c>
      <c r="BD601" s="35">
        <f t="shared" si="101"/>
        <v>0</v>
      </c>
      <c r="BE601" s="35">
        <v>0</v>
      </c>
      <c r="BF601" s="35">
        <f>601</f>
        <v>601</v>
      </c>
      <c r="BH601" s="35">
        <f t="shared" si="102"/>
        <v>0</v>
      </c>
      <c r="BI601" s="35">
        <f t="shared" si="103"/>
        <v>0</v>
      </c>
      <c r="BJ601" s="35">
        <f t="shared" si="104"/>
        <v>0</v>
      </c>
      <c r="BK601" s="62" t="s">
        <v>135</v>
      </c>
      <c r="BL601" s="35"/>
      <c r="BW601" s="35">
        <v>21</v>
      </c>
      <c r="BX601" s="3" t="s">
        <v>1310</v>
      </c>
    </row>
    <row r="602" spans="1:76">
      <c r="A602" s="1" t="s">
        <v>451</v>
      </c>
      <c r="B602" s="2" t="s">
        <v>96</v>
      </c>
      <c r="C602" s="2" t="s">
        <v>1311</v>
      </c>
      <c r="D602" s="92" t="s">
        <v>1312</v>
      </c>
      <c r="E602" s="87"/>
      <c r="F602" s="2" t="s">
        <v>1237</v>
      </c>
      <c r="G602" s="35">
        <v>2</v>
      </c>
      <c r="H602" s="61">
        <v>0</v>
      </c>
      <c r="I602" s="35">
        <f t="shared" si="83"/>
        <v>0</v>
      </c>
      <c r="K602" s="51"/>
      <c r="Z602" s="35">
        <f t="shared" si="84"/>
        <v>0</v>
      </c>
      <c r="AB602" s="35">
        <f t="shared" si="85"/>
        <v>0</v>
      </c>
      <c r="AC602" s="35">
        <f t="shared" si="86"/>
        <v>0</v>
      </c>
      <c r="AD602" s="35">
        <f t="shared" si="87"/>
        <v>0</v>
      </c>
      <c r="AE602" s="35">
        <f t="shared" si="88"/>
        <v>0</v>
      </c>
      <c r="AF602" s="35">
        <f t="shared" si="89"/>
        <v>0</v>
      </c>
      <c r="AG602" s="35">
        <f t="shared" si="90"/>
        <v>0</v>
      </c>
      <c r="AH602" s="35">
        <f t="shared" si="91"/>
        <v>0</v>
      </c>
      <c r="AI602" s="46" t="s">
        <v>96</v>
      </c>
      <c r="AJ602" s="35">
        <f t="shared" si="92"/>
        <v>0</v>
      </c>
      <c r="AK602" s="35">
        <f t="shared" si="93"/>
        <v>0</v>
      </c>
      <c r="AL602" s="35">
        <f t="shared" si="94"/>
        <v>0</v>
      </c>
      <c r="AN602" s="35">
        <v>21</v>
      </c>
      <c r="AO602" s="35">
        <f t="shared" si="95"/>
        <v>0</v>
      </c>
      <c r="AP602" s="35">
        <f t="shared" si="96"/>
        <v>0</v>
      </c>
      <c r="AQ602" s="62" t="s">
        <v>127</v>
      </c>
      <c r="AV602" s="35">
        <f t="shared" si="97"/>
        <v>0</v>
      </c>
      <c r="AW602" s="35">
        <f t="shared" si="98"/>
        <v>0</v>
      </c>
      <c r="AX602" s="35">
        <f t="shared" si="99"/>
        <v>0</v>
      </c>
      <c r="AY602" s="62" t="s">
        <v>1244</v>
      </c>
      <c r="AZ602" s="62" t="s">
        <v>1172</v>
      </c>
      <c r="BA602" s="46" t="s">
        <v>1173</v>
      </c>
      <c r="BC602" s="35">
        <f t="shared" si="100"/>
        <v>0</v>
      </c>
      <c r="BD602" s="35">
        <f t="shared" si="101"/>
        <v>0</v>
      </c>
      <c r="BE602" s="35">
        <v>0</v>
      </c>
      <c r="BF602" s="35">
        <f>602</f>
        <v>602</v>
      </c>
      <c r="BH602" s="35">
        <f t="shared" si="102"/>
        <v>0</v>
      </c>
      <c r="BI602" s="35">
        <f t="shared" si="103"/>
        <v>0</v>
      </c>
      <c r="BJ602" s="35">
        <f t="shared" si="104"/>
        <v>0</v>
      </c>
      <c r="BK602" s="62" t="s">
        <v>135</v>
      </c>
      <c r="BL602" s="35"/>
      <c r="BW602" s="35">
        <v>21</v>
      </c>
      <c r="BX602" s="3" t="s">
        <v>1312</v>
      </c>
    </row>
    <row r="603" spans="1:76">
      <c r="A603" s="1" t="s">
        <v>1313</v>
      </c>
      <c r="B603" s="2" t="s">
        <v>96</v>
      </c>
      <c r="C603" s="2" t="s">
        <v>1314</v>
      </c>
      <c r="D603" s="92" t="s">
        <v>1315</v>
      </c>
      <c r="E603" s="87"/>
      <c r="F603" s="2" t="s">
        <v>1237</v>
      </c>
      <c r="G603" s="35">
        <v>3</v>
      </c>
      <c r="H603" s="61">
        <v>0</v>
      </c>
      <c r="I603" s="35">
        <f t="shared" si="83"/>
        <v>0</v>
      </c>
      <c r="K603" s="51"/>
      <c r="Z603" s="35">
        <f t="shared" si="84"/>
        <v>0</v>
      </c>
      <c r="AB603" s="35">
        <f t="shared" si="85"/>
        <v>0</v>
      </c>
      <c r="AC603" s="35">
        <f t="shared" si="86"/>
        <v>0</v>
      </c>
      <c r="AD603" s="35">
        <f t="shared" si="87"/>
        <v>0</v>
      </c>
      <c r="AE603" s="35">
        <f t="shared" si="88"/>
        <v>0</v>
      </c>
      <c r="AF603" s="35">
        <f t="shared" si="89"/>
        <v>0</v>
      </c>
      <c r="AG603" s="35">
        <f t="shared" si="90"/>
        <v>0</v>
      </c>
      <c r="AH603" s="35">
        <f t="shared" si="91"/>
        <v>0</v>
      </c>
      <c r="AI603" s="46" t="s">
        <v>96</v>
      </c>
      <c r="AJ603" s="35">
        <f t="shared" si="92"/>
        <v>0</v>
      </c>
      <c r="AK603" s="35">
        <f t="shared" si="93"/>
        <v>0</v>
      </c>
      <c r="AL603" s="35">
        <f t="shared" si="94"/>
        <v>0</v>
      </c>
      <c r="AN603" s="35">
        <v>21</v>
      </c>
      <c r="AO603" s="35">
        <f t="shared" si="95"/>
        <v>0</v>
      </c>
      <c r="AP603" s="35">
        <f t="shared" si="96"/>
        <v>0</v>
      </c>
      <c r="AQ603" s="62" t="s">
        <v>127</v>
      </c>
      <c r="AV603" s="35">
        <f t="shared" si="97"/>
        <v>0</v>
      </c>
      <c r="AW603" s="35">
        <f t="shared" si="98"/>
        <v>0</v>
      </c>
      <c r="AX603" s="35">
        <f t="shared" si="99"/>
        <v>0</v>
      </c>
      <c r="AY603" s="62" t="s">
        <v>1244</v>
      </c>
      <c r="AZ603" s="62" t="s">
        <v>1172</v>
      </c>
      <c r="BA603" s="46" t="s">
        <v>1173</v>
      </c>
      <c r="BC603" s="35">
        <f t="shared" si="100"/>
        <v>0</v>
      </c>
      <c r="BD603" s="35">
        <f t="shared" si="101"/>
        <v>0</v>
      </c>
      <c r="BE603" s="35">
        <v>0</v>
      </c>
      <c r="BF603" s="35">
        <f>603</f>
        <v>603</v>
      </c>
      <c r="BH603" s="35">
        <f t="shared" si="102"/>
        <v>0</v>
      </c>
      <c r="BI603" s="35">
        <f t="shared" si="103"/>
        <v>0</v>
      </c>
      <c r="BJ603" s="35">
        <f t="shared" si="104"/>
        <v>0</v>
      </c>
      <c r="BK603" s="62" t="s">
        <v>135</v>
      </c>
      <c r="BL603" s="35"/>
      <c r="BW603" s="35">
        <v>21</v>
      </c>
      <c r="BX603" s="3" t="s">
        <v>1315</v>
      </c>
    </row>
    <row r="604" spans="1:76">
      <c r="A604" s="1" t="s">
        <v>1316</v>
      </c>
      <c r="B604" s="2" t="s">
        <v>96</v>
      </c>
      <c r="C604" s="2" t="s">
        <v>1317</v>
      </c>
      <c r="D604" s="92" t="s">
        <v>1318</v>
      </c>
      <c r="E604" s="87"/>
      <c r="F604" s="2" t="s">
        <v>1237</v>
      </c>
      <c r="G604" s="35">
        <v>8</v>
      </c>
      <c r="H604" s="61">
        <v>0</v>
      </c>
      <c r="I604" s="35">
        <f t="shared" si="83"/>
        <v>0</v>
      </c>
      <c r="K604" s="51"/>
      <c r="Z604" s="35">
        <f t="shared" si="84"/>
        <v>0</v>
      </c>
      <c r="AB604" s="35">
        <f t="shared" si="85"/>
        <v>0</v>
      </c>
      <c r="AC604" s="35">
        <f t="shared" si="86"/>
        <v>0</v>
      </c>
      <c r="AD604" s="35">
        <f t="shared" si="87"/>
        <v>0</v>
      </c>
      <c r="AE604" s="35">
        <f t="shared" si="88"/>
        <v>0</v>
      </c>
      <c r="AF604" s="35">
        <f t="shared" si="89"/>
        <v>0</v>
      </c>
      <c r="AG604" s="35">
        <f t="shared" si="90"/>
        <v>0</v>
      </c>
      <c r="AH604" s="35">
        <f t="shared" si="91"/>
        <v>0</v>
      </c>
      <c r="AI604" s="46" t="s">
        <v>96</v>
      </c>
      <c r="AJ604" s="35">
        <f t="shared" si="92"/>
        <v>0</v>
      </c>
      <c r="AK604" s="35">
        <f t="shared" si="93"/>
        <v>0</v>
      </c>
      <c r="AL604" s="35">
        <f t="shared" si="94"/>
        <v>0</v>
      </c>
      <c r="AN604" s="35">
        <v>21</v>
      </c>
      <c r="AO604" s="35">
        <f t="shared" si="95"/>
        <v>0</v>
      </c>
      <c r="AP604" s="35">
        <f t="shared" si="96"/>
        <v>0</v>
      </c>
      <c r="AQ604" s="62" t="s">
        <v>127</v>
      </c>
      <c r="AV604" s="35">
        <f t="shared" si="97"/>
        <v>0</v>
      </c>
      <c r="AW604" s="35">
        <f t="shared" si="98"/>
        <v>0</v>
      </c>
      <c r="AX604" s="35">
        <f t="shared" si="99"/>
        <v>0</v>
      </c>
      <c r="AY604" s="62" t="s">
        <v>1244</v>
      </c>
      <c r="AZ604" s="62" t="s">
        <v>1172</v>
      </c>
      <c r="BA604" s="46" t="s">
        <v>1173</v>
      </c>
      <c r="BC604" s="35">
        <f t="shared" si="100"/>
        <v>0</v>
      </c>
      <c r="BD604" s="35">
        <f t="shared" si="101"/>
        <v>0</v>
      </c>
      <c r="BE604" s="35">
        <v>0</v>
      </c>
      <c r="BF604" s="35">
        <f>604</f>
        <v>604</v>
      </c>
      <c r="BH604" s="35">
        <f t="shared" si="102"/>
        <v>0</v>
      </c>
      <c r="BI604" s="35">
        <f t="shared" si="103"/>
        <v>0</v>
      </c>
      <c r="BJ604" s="35">
        <f t="shared" si="104"/>
        <v>0</v>
      </c>
      <c r="BK604" s="62" t="s">
        <v>135</v>
      </c>
      <c r="BL604" s="35"/>
      <c r="BW604" s="35">
        <v>21</v>
      </c>
      <c r="BX604" s="3" t="s">
        <v>1318</v>
      </c>
    </row>
    <row r="605" spans="1:76" ht="13.5" customHeight="1">
      <c r="A605" s="68"/>
      <c r="C605" s="72" t="s">
        <v>337</v>
      </c>
      <c r="D605" s="178" t="s">
        <v>1319</v>
      </c>
      <c r="E605" s="179"/>
      <c r="F605" s="179"/>
      <c r="G605" s="179"/>
      <c r="H605" s="180"/>
      <c r="I605" s="179"/>
      <c r="J605" s="179"/>
      <c r="K605" s="181"/>
    </row>
    <row r="606" spans="1:76">
      <c r="A606" s="57" t="s">
        <v>4</v>
      </c>
      <c r="B606" s="58" t="s">
        <v>96</v>
      </c>
      <c r="C606" s="58" t="s">
        <v>1320</v>
      </c>
      <c r="D606" s="174" t="s">
        <v>1321</v>
      </c>
      <c r="E606" s="175"/>
      <c r="F606" s="59" t="s">
        <v>79</v>
      </c>
      <c r="G606" s="59" t="s">
        <v>79</v>
      </c>
      <c r="H606" s="60" t="s">
        <v>79</v>
      </c>
      <c r="I606" s="40">
        <f>SUM(I607:I621)</f>
        <v>0</v>
      </c>
      <c r="K606" s="51"/>
      <c r="AI606" s="46" t="s">
        <v>96</v>
      </c>
      <c r="AS606" s="40">
        <f>SUM(AJ607:AJ621)</f>
        <v>0</v>
      </c>
      <c r="AT606" s="40">
        <f>SUM(AK607:AK621)</f>
        <v>0</v>
      </c>
      <c r="AU606" s="40">
        <f>SUM(AL607:AL621)</f>
        <v>0</v>
      </c>
    </row>
    <row r="607" spans="1:76">
      <c r="A607" s="1" t="s">
        <v>1322</v>
      </c>
      <c r="B607" s="2" t="s">
        <v>96</v>
      </c>
      <c r="C607" s="2" t="s">
        <v>1323</v>
      </c>
      <c r="D607" s="92" t="s">
        <v>1324</v>
      </c>
      <c r="E607" s="87"/>
      <c r="F607" s="2" t="s">
        <v>1325</v>
      </c>
      <c r="G607" s="35">
        <v>0.2</v>
      </c>
      <c r="H607" s="61">
        <v>0</v>
      </c>
      <c r="I607" s="35">
        <f t="shared" ref="I607:I621" si="105">ROUND(G607*H607,2)</f>
        <v>0</v>
      </c>
      <c r="K607" s="51"/>
      <c r="Z607" s="35">
        <f t="shared" ref="Z607:Z621" si="106">ROUND(IF(AQ607="5",BJ607,0),2)</f>
        <v>0</v>
      </c>
      <c r="AB607" s="35">
        <f t="shared" ref="AB607:AB621" si="107">ROUND(IF(AQ607="1",BH607,0),2)</f>
        <v>0</v>
      </c>
      <c r="AC607" s="35">
        <f t="shared" ref="AC607:AC621" si="108">ROUND(IF(AQ607="1",BI607,0),2)</f>
        <v>0</v>
      </c>
      <c r="AD607" s="35">
        <f t="shared" ref="AD607:AD621" si="109">ROUND(IF(AQ607="7",BH607,0),2)</f>
        <v>0</v>
      </c>
      <c r="AE607" s="35">
        <f t="shared" ref="AE607:AE621" si="110">ROUND(IF(AQ607="7",BI607,0),2)</f>
        <v>0</v>
      </c>
      <c r="AF607" s="35">
        <f t="shared" ref="AF607:AF621" si="111">ROUND(IF(AQ607="2",BH607,0),2)</f>
        <v>0</v>
      </c>
      <c r="AG607" s="35">
        <f t="shared" ref="AG607:AG621" si="112">ROUND(IF(AQ607="2",BI607,0),2)</f>
        <v>0</v>
      </c>
      <c r="AH607" s="35">
        <f t="shared" ref="AH607:AH621" si="113">ROUND(IF(AQ607="0",BJ607,0),2)</f>
        <v>0</v>
      </c>
      <c r="AI607" s="46" t="s">
        <v>96</v>
      </c>
      <c r="AJ607" s="35">
        <f t="shared" ref="AJ607:AJ621" si="114">IF(AN607=0,I607,0)</f>
        <v>0</v>
      </c>
      <c r="AK607" s="35">
        <f t="shared" ref="AK607:AK621" si="115">IF(AN607=12,I607,0)</f>
        <v>0</v>
      </c>
      <c r="AL607" s="35">
        <f t="shared" ref="AL607:AL621" si="116">IF(AN607=21,I607,0)</f>
        <v>0</v>
      </c>
      <c r="AN607" s="35">
        <v>21</v>
      </c>
      <c r="AO607" s="35">
        <f t="shared" ref="AO607:AO621" si="117">H607*0</f>
        <v>0</v>
      </c>
      <c r="AP607" s="35">
        <f t="shared" ref="AP607:AP621" si="118">H607*(1-0)</f>
        <v>0</v>
      </c>
      <c r="AQ607" s="62" t="s">
        <v>136</v>
      </c>
      <c r="AV607" s="35">
        <f t="shared" ref="AV607:AV621" si="119">ROUND(AW607+AX607,2)</f>
        <v>0</v>
      </c>
      <c r="AW607" s="35">
        <f t="shared" ref="AW607:AW621" si="120">ROUND(G607*AO607,2)</f>
        <v>0</v>
      </c>
      <c r="AX607" s="35">
        <f t="shared" ref="AX607:AX621" si="121">ROUND(G607*AP607,2)</f>
        <v>0</v>
      </c>
      <c r="AY607" s="62" t="s">
        <v>1326</v>
      </c>
      <c r="AZ607" s="62" t="s">
        <v>1172</v>
      </c>
      <c r="BA607" s="46" t="s">
        <v>1173</v>
      </c>
      <c r="BC607" s="35">
        <f t="shared" ref="BC607:BC621" si="122">AW607+AX607</f>
        <v>0</v>
      </c>
      <c r="BD607" s="35">
        <f t="shared" ref="BD607:BD621" si="123">H607/(100-BE607)*100</f>
        <v>0</v>
      </c>
      <c r="BE607" s="35">
        <v>0</v>
      </c>
      <c r="BF607" s="35">
        <f>607</f>
        <v>607</v>
      </c>
      <c r="BH607" s="35">
        <f t="shared" ref="BH607:BH621" si="124">G607*AO607</f>
        <v>0</v>
      </c>
      <c r="BI607" s="35">
        <f t="shared" ref="BI607:BI621" si="125">G607*AP607</f>
        <v>0</v>
      </c>
      <c r="BJ607" s="35">
        <f t="shared" ref="BJ607:BJ621" si="126">G607*H607</f>
        <v>0</v>
      </c>
      <c r="BK607" s="62" t="s">
        <v>135</v>
      </c>
      <c r="BL607" s="35"/>
      <c r="BW607" s="35">
        <v>21</v>
      </c>
      <c r="BX607" s="3" t="s">
        <v>1324</v>
      </c>
    </row>
    <row r="608" spans="1:76">
      <c r="A608" s="1" t="s">
        <v>1327</v>
      </c>
      <c r="B608" s="2" t="s">
        <v>96</v>
      </c>
      <c r="C608" s="2" t="s">
        <v>1328</v>
      </c>
      <c r="D608" s="92" t="s">
        <v>1329</v>
      </c>
      <c r="E608" s="87"/>
      <c r="F608" s="2" t="s">
        <v>1330</v>
      </c>
      <c r="G608" s="35">
        <v>0.7</v>
      </c>
      <c r="H608" s="61">
        <v>0</v>
      </c>
      <c r="I608" s="35">
        <f t="shared" si="105"/>
        <v>0</v>
      </c>
      <c r="K608" s="51"/>
      <c r="Z608" s="35">
        <f t="shared" si="106"/>
        <v>0</v>
      </c>
      <c r="AB608" s="35">
        <f t="shared" si="107"/>
        <v>0</v>
      </c>
      <c r="AC608" s="35">
        <f t="shared" si="108"/>
        <v>0</v>
      </c>
      <c r="AD608" s="35">
        <f t="shared" si="109"/>
        <v>0</v>
      </c>
      <c r="AE608" s="35">
        <f t="shared" si="110"/>
        <v>0</v>
      </c>
      <c r="AF608" s="35">
        <f t="shared" si="111"/>
        <v>0</v>
      </c>
      <c r="AG608" s="35">
        <f t="shared" si="112"/>
        <v>0</v>
      </c>
      <c r="AH608" s="35">
        <f t="shared" si="113"/>
        <v>0</v>
      </c>
      <c r="AI608" s="46" t="s">
        <v>96</v>
      </c>
      <c r="AJ608" s="35">
        <f t="shared" si="114"/>
        <v>0</v>
      </c>
      <c r="AK608" s="35">
        <f t="shared" si="115"/>
        <v>0</v>
      </c>
      <c r="AL608" s="35">
        <f t="shared" si="116"/>
        <v>0</v>
      </c>
      <c r="AN608" s="35">
        <v>21</v>
      </c>
      <c r="AO608" s="35">
        <f t="shared" si="117"/>
        <v>0</v>
      </c>
      <c r="AP608" s="35">
        <f t="shared" si="118"/>
        <v>0</v>
      </c>
      <c r="AQ608" s="62" t="s">
        <v>136</v>
      </c>
      <c r="AV608" s="35">
        <f t="shared" si="119"/>
        <v>0</v>
      </c>
      <c r="AW608" s="35">
        <f t="shared" si="120"/>
        <v>0</v>
      </c>
      <c r="AX608" s="35">
        <f t="shared" si="121"/>
        <v>0</v>
      </c>
      <c r="AY608" s="62" t="s">
        <v>1326</v>
      </c>
      <c r="AZ608" s="62" t="s">
        <v>1172</v>
      </c>
      <c r="BA608" s="46" t="s">
        <v>1173</v>
      </c>
      <c r="BC608" s="35">
        <f t="shared" si="122"/>
        <v>0</v>
      </c>
      <c r="BD608" s="35">
        <f t="shared" si="123"/>
        <v>0</v>
      </c>
      <c r="BE608" s="35">
        <v>0</v>
      </c>
      <c r="BF608" s="35">
        <f>608</f>
        <v>608</v>
      </c>
      <c r="BH608" s="35">
        <f t="shared" si="124"/>
        <v>0</v>
      </c>
      <c r="BI608" s="35">
        <f t="shared" si="125"/>
        <v>0</v>
      </c>
      <c r="BJ608" s="35">
        <f t="shared" si="126"/>
        <v>0</v>
      </c>
      <c r="BK608" s="62" t="s">
        <v>135</v>
      </c>
      <c r="BL608" s="35"/>
      <c r="BW608" s="35">
        <v>21</v>
      </c>
      <c r="BX608" s="3" t="s">
        <v>1329</v>
      </c>
    </row>
    <row r="609" spans="1:76">
      <c r="A609" s="1" t="s">
        <v>1331</v>
      </c>
      <c r="B609" s="2" t="s">
        <v>96</v>
      </c>
      <c r="C609" s="2" t="s">
        <v>1332</v>
      </c>
      <c r="D609" s="92" t="s">
        <v>1333</v>
      </c>
      <c r="E609" s="87"/>
      <c r="F609" s="2" t="s">
        <v>1330</v>
      </c>
      <c r="G609" s="35">
        <v>2.4</v>
      </c>
      <c r="H609" s="61">
        <v>0</v>
      </c>
      <c r="I609" s="35">
        <f t="shared" si="105"/>
        <v>0</v>
      </c>
      <c r="K609" s="51"/>
      <c r="Z609" s="35">
        <f t="shared" si="106"/>
        <v>0</v>
      </c>
      <c r="AB609" s="35">
        <f t="shared" si="107"/>
        <v>0</v>
      </c>
      <c r="AC609" s="35">
        <f t="shared" si="108"/>
        <v>0</v>
      </c>
      <c r="AD609" s="35">
        <f t="shared" si="109"/>
        <v>0</v>
      </c>
      <c r="AE609" s="35">
        <f t="shared" si="110"/>
        <v>0</v>
      </c>
      <c r="AF609" s="35">
        <f t="shared" si="111"/>
        <v>0</v>
      </c>
      <c r="AG609" s="35">
        <f t="shared" si="112"/>
        <v>0</v>
      </c>
      <c r="AH609" s="35">
        <f t="shared" si="113"/>
        <v>0</v>
      </c>
      <c r="AI609" s="46" t="s">
        <v>96</v>
      </c>
      <c r="AJ609" s="35">
        <f t="shared" si="114"/>
        <v>0</v>
      </c>
      <c r="AK609" s="35">
        <f t="shared" si="115"/>
        <v>0</v>
      </c>
      <c r="AL609" s="35">
        <f t="shared" si="116"/>
        <v>0</v>
      </c>
      <c r="AN609" s="35">
        <v>21</v>
      </c>
      <c r="AO609" s="35">
        <f t="shared" si="117"/>
        <v>0</v>
      </c>
      <c r="AP609" s="35">
        <f t="shared" si="118"/>
        <v>0</v>
      </c>
      <c r="AQ609" s="62" t="s">
        <v>136</v>
      </c>
      <c r="AV609" s="35">
        <f t="shared" si="119"/>
        <v>0</v>
      </c>
      <c r="AW609" s="35">
        <f t="shared" si="120"/>
        <v>0</v>
      </c>
      <c r="AX609" s="35">
        <f t="shared" si="121"/>
        <v>0</v>
      </c>
      <c r="AY609" s="62" t="s">
        <v>1326</v>
      </c>
      <c r="AZ609" s="62" t="s">
        <v>1172</v>
      </c>
      <c r="BA609" s="46" t="s">
        <v>1173</v>
      </c>
      <c r="BC609" s="35">
        <f t="shared" si="122"/>
        <v>0</v>
      </c>
      <c r="BD609" s="35">
        <f t="shared" si="123"/>
        <v>0</v>
      </c>
      <c r="BE609" s="35">
        <v>0</v>
      </c>
      <c r="BF609" s="35">
        <f>609</f>
        <v>609</v>
      </c>
      <c r="BH609" s="35">
        <f t="shared" si="124"/>
        <v>0</v>
      </c>
      <c r="BI609" s="35">
        <f t="shared" si="125"/>
        <v>0</v>
      </c>
      <c r="BJ609" s="35">
        <f t="shared" si="126"/>
        <v>0</v>
      </c>
      <c r="BK609" s="62" t="s">
        <v>135</v>
      </c>
      <c r="BL609" s="35"/>
      <c r="BW609" s="35">
        <v>21</v>
      </c>
      <c r="BX609" s="3" t="s">
        <v>1333</v>
      </c>
    </row>
    <row r="610" spans="1:76" ht="25.5">
      <c r="A610" s="1" t="s">
        <v>1334</v>
      </c>
      <c r="B610" s="2" t="s">
        <v>96</v>
      </c>
      <c r="C610" s="2" t="s">
        <v>1335</v>
      </c>
      <c r="D610" s="92" t="s">
        <v>1336</v>
      </c>
      <c r="E610" s="87"/>
      <c r="F610" s="2" t="s">
        <v>1180</v>
      </c>
      <c r="G610" s="35">
        <v>2</v>
      </c>
      <c r="H610" s="61">
        <v>0</v>
      </c>
      <c r="I610" s="35">
        <f t="shared" si="105"/>
        <v>0</v>
      </c>
      <c r="K610" s="51"/>
      <c r="Z610" s="35">
        <f t="shared" si="106"/>
        <v>0</v>
      </c>
      <c r="AB610" s="35">
        <f t="shared" si="107"/>
        <v>0</v>
      </c>
      <c r="AC610" s="35">
        <f t="shared" si="108"/>
        <v>0</v>
      </c>
      <c r="AD610" s="35">
        <f t="shared" si="109"/>
        <v>0</v>
      </c>
      <c r="AE610" s="35">
        <f t="shared" si="110"/>
        <v>0</v>
      </c>
      <c r="AF610" s="35">
        <f t="shared" si="111"/>
        <v>0</v>
      </c>
      <c r="AG610" s="35">
        <f t="shared" si="112"/>
        <v>0</v>
      </c>
      <c r="AH610" s="35">
        <f t="shared" si="113"/>
        <v>0</v>
      </c>
      <c r="AI610" s="46" t="s">
        <v>96</v>
      </c>
      <c r="AJ610" s="35">
        <f t="shared" si="114"/>
        <v>0</v>
      </c>
      <c r="AK610" s="35">
        <f t="shared" si="115"/>
        <v>0</v>
      </c>
      <c r="AL610" s="35">
        <f t="shared" si="116"/>
        <v>0</v>
      </c>
      <c r="AN610" s="35">
        <v>21</v>
      </c>
      <c r="AO610" s="35">
        <f t="shared" si="117"/>
        <v>0</v>
      </c>
      <c r="AP610" s="35">
        <f t="shared" si="118"/>
        <v>0</v>
      </c>
      <c r="AQ610" s="62" t="s">
        <v>136</v>
      </c>
      <c r="AV610" s="35">
        <f t="shared" si="119"/>
        <v>0</v>
      </c>
      <c r="AW610" s="35">
        <f t="shared" si="120"/>
        <v>0</v>
      </c>
      <c r="AX610" s="35">
        <f t="shared" si="121"/>
        <v>0</v>
      </c>
      <c r="AY610" s="62" t="s">
        <v>1326</v>
      </c>
      <c r="AZ610" s="62" t="s">
        <v>1172</v>
      </c>
      <c r="BA610" s="46" t="s">
        <v>1173</v>
      </c>
      <c r="BC610" s="35">
        <f t="shared" si="122"/>
        <v>0</v>
      </c>
      <c r="BD610" s="35">
        <f t="shared" si="123"/>
        <v>0</v>
      </c>
      <c r="BE610" s="35">
        <v>0</v>
      </c>
      <c r="BF610" s="35">
        <f>610</f>
        <v>610</v>
      </c>
      <c r="BH610" s="35">
        <f t="shared" si="124"/>
        <v>0</v>
      </c>
      <c r="BI610" s="35">
        <f t="shared" si="125"/>
        <v>0</v>
      </c>
      <c r="BJ610" s="35">
        <f t="shared" si="126"/>
        <v>0</v>
      </c>
      <c r="BK610" s="62" t="s">
        <v>135</v>
      </c>
      <c r="BL610" s="35"/>
      <c r="BW610" s="35">
        <v>21</v>
      </c>
      <c r="BX610" s="3" t="s">
        <v>1336</v>
      </c>
    </row>
    <row r="611" spans="1:76" ht="25.5">
      <c r="A611" s="1" t="s">
        <v>1337</v>
      </c>
      <c r="B611" s="2" t="s">
        <v>96</v>
      </c>
      <c r="C611" s="2" t="s">
        <v>1338</v>
      </c>
      <c r="D611" s="92" t="s">
        <v>1339</v>
      </c>
      <c r="E611" s="87"/>
      <c r="F611" s="2" t="s">
        <v>1180</v>
      </c>
      <c r="G611" s="35">
        <v>4</v>
      </c>
      <c r="H611" s="61">
        <v>0</v>
      </c>
      <c r="I611" s="35">
        <f t="shared" si="105"/>
        <v>0</v>
      </c>
      <c r="K611" s="51"/>
      <c r="Z611" s="35">
        <f t="shared" si="106"/>
        <v>0</v>
      </c>
      <c r="AB611" s="35">
        <f t="shared" si="107"/>
        <v>0</v>
      </c>
      <c r="AC611" s="35">
        <f t="shared" si="108"/>
        <v>0</v>
      </c>
      <c r="AD611" s="35">
        <f t="shared" si="109"/>
        <v>0</v>
      </c>
      <c r="AE611" s="35">
        <f t="shared" si="110"/>
        <v>0</v>
      </c>
      <c r="AF611" s="35">
        <f t="shared" si="111"/>
        <v>0</v>
      </c>
      <c r="AG611" s="35">
        <f t="shared" si="112"/>
        <v>0</v>
      </c>
      <c r="AH611" s="35">
        <f t="shared" si="113"/>
        <v>0</v>
      </c>
      <c r="AI611" s="46" t="s">
        <v>96</v>
      </c>
      <c r="AJ611" s="35">
        <f t="shared" si="114"/>
        <v>0</v>
      </c>
      <c r="AK611" s="35">
        <f t="shared" si="115"/>
        <v>0</v>
      </c>
      <c r="AL611" s="35">
        <f t="shared" si="116"/>
        <v>0</v>
      </c>
      <c r="AN611" s="35">
        <v>21</v>
      </c>
      <c r="AO611" s="35">
        <f t="shared" si="117"/>
        <v>0</v>
      </c>
      <c r="AP611" s="35">
        <f t="shared" si="118"/>
        <v>0</v>
      </c>
      <c r="AQ611" s="62" t="s">
        <v>136</v>
      </c>
      <c r="AV611" s="35">
        <f t="shared" si="119"/>
        <v>0</v>
      </c>
      <c r="AW611" s="35">
        <f t="shared" si="120"/>
        <v>0</v>
      </c>
      <c r="AX611" s="35">
        <f t="shared" si="121"/>
        <v>0</v>
      </c>
      <c r="AY611" s="62" t="s">
        <v>1326</v>
      </c>
      <c r="AZ611" s="62" t="s">
        <v>1172</v>
      </c>
      <c r="BA611" s="46" t="s">
        <v>1173</v>
      </c>
      <c r="BC611" s="35">
        <f t="shared" si="122"/>
        <v>0</v>
      </c>
      <c r="BD611" s="35">
        <f t="shared" si="123"/>
        <v>0</v>
      </c>
      <c r="BE611" s="35">
        <v>0</v>
      </c>
      <c r="BF611" s="35">
        <f>611</f>
        <v>611</v>
      </c>
      <c r="BH611" s="35">
        <f t="shared" si="124"/>
        <v>0</v>
      </c>
      <c r="BI611" s="35">
        <f t="shared" si="125"/>
        <v>0</v>
      </c>
      <c r="BJ611" s="35">
        <f t="shared" si="126"/>
        <v>0</v>
      </c>
      <c r="BK611" s="62" t="s">
        <v>135</v>
      </c>
      <c r="BL611" s="35"/>
      <c r="BW611" s="35">
        <v>21</v>
      </c>
      <c r="BX611" s="3" t="s">
        <v>1339</v>
      </c>
    </row>
    <row r="612" spans="1:76">
      <c r="A612" s="1" t="s">
        <v>1340</v>
      </c>
      <c r="B612" s="2" t="s">
        <v>96</v>
      </c>
      <c r="C612" s="2" t="s">
        <v>1341</v>
      </c>
      <c r="D612" s="92" t="s">
        <v>1342</v>
      </c>
      <c r="E612" s="87"/>
      <c r="F612" s="2" t="s">
        <v>277</v>
      </c>
      <c r="G612" s="35">
        <v>188</v>
      </c>
      <c r="H612" s="61">
        <v>0</v>
      </c>
      <c r="I612" s="35">
        <f t="shared" si="105"/>
        <v>0</v>
      </c>
      <c r="K612" s="51"/>
      <c r="Z612" s="35">
        <f t="shared" si="106"/>
        <v>0</v>
      </c>
      <c r="AB612" s="35">
        <f t="shared" si="107"/>
        <v>0</v>
      </c>
      <c r="AC612" s="35">
        <f t="shared" si="108"/>
        <v>0</v>
      </c>
      <c r="AD612" s="35">
        <f t="shared" si="109"/>
        <v>0</v>
      </c>
      <c r="AE612" s="35">
        <f t="shared" si="110"/>
        <v>0</v>
      </c>
      <c r="AF612" s="35">
        <f t="shared" si="111"/>
        <v>0</v>
      </c>
      <c r="AG612" s="35">
        <f t="shared" si="112"/>
        <v>0</v>
      </c>
      <c r="AH612" s="35">
        <f t="shared" si="113"/>
        <v>0</v>
      </c>
      <c r="AI612" s="46" t="s">
        <v>96</v>
      </c>
      <c r="AJ612" s="35">
        <f t="shared" si="114"/>
        <v>0</v>
      </c>
      <c r="AK612" s="35">
        <f t="shared" si="115"/>
        <v>0</v>
      </c>
      <c r="AL612" s="35">
        <f t="shared" si="116"/>
        <v>0</v>
      </c>
      <c r="AN612" s="35">
        <v>21</v>
      </c>
      <c r="AO612" s="35">
        <f t="shared" si="117"/>
        <v>0</v>
      </c>
      <c r="AP612" s="35">
        <f t="shared" si="118"/>
        <v>0</v>
      </c>
      <c r="AQ612" s="62" t="s">
        <v>136</v>
      </c>
      <c r="AV612" s="35">
        <f t="shared" si="119"/>
        <v>0</v>
      </c>
      <c r="AW612" s="35">
        <f t="shared" si="120"/>
        <v>0</v>
      </c>
      <c r="AX612" s="35">
        <f t="shared" si="121"/>
        <v>0</v>
      </c>
      <c r="AY612" s="62" t="s">
        <v>1326</v>
      </c>
      <c r="AZ612" s="62" t="s">
        <v>1172</v>
      </c>
      <c r="BA612" s="46" t="s">
        <v>1173</v>
      </c>
      <c r="BC612" s="35">
        <f t="shared" si="122"/>
        <v>0</v>
      </c>
      <c r="BD612" s="35">
        <f t="shared" si="123"/>
        <v>0</v>
      </c>
      <c r="BE612" s="35">
        <v>0</v>
      </c>
      <c r="BF612" s="35">
        <f>612</f>
        <v>612</v>
      </c>
      <c r="BH612" s="35">
        <f t="shared" si="124"/>
        <v>0</v>
      </c>
      <c r="BI612" s="35">
        <f t="shared" si="125"/>
        <v>0</v>
      </c>
      <c r="BJ612" s="35">
        <f t="shared" si="126"/>
        <v>0</v>
      </c>
      <c r="BK612" s="62" t="s">
        <v>135</v>
      </c>
      <c r="BL612" s="35"/>
      <c r="BW612" s="35">
        <v>21</v>
      </c>
      <c r="BX612" s="3" t="s">
        <v>1342</v>
      </c>
    </row>
    <row r="613" spans="1:76">
      <c r="A613" s="1" t="s">
        <v>1343</v>
      </c>
      <c r="B613" s="2" t="s">
        <v>96</v>
      </c>
      <c r="C613" s="2" t="s">
        <v>1344</v>
      </c>
      <c r="D613" s="92" t="s">
        <v>1345</v>
      </c>
      <c r="E613" s="87"/>
      <c r="F613" s="2" t="s">
        <v>277</v>
      </c>
      <c r="G613" s="35">
        <v>6</v>
      </c>
      <c r="H613" s="61">
        <v>0</v>
      </c>
      <c r="I613" s="35">
        <f t="shared" si="105"/>
        <v>0</v>
      </c>
      <c r="K613" s="51"/>
      <c r="Z613" s="35">
        <f t="shared" si="106"/>
        <v>0</v>
      </c>
      <c r="AB613" s="35">
        <f t="shared" si="107"/>
        <v>0</v>
      </c>
      <c r="AC613" s="35">
        <f t="shared" si="108"/>
        <v>0</v>
      </c>
      <c r="AD613" s="35">
        <f t="shared" si="109"/>
        <v>0</v>
      </c>
      <c r="AE613" s="35">
        <f t="shared" si="110"/>
        <v>0</v>
      </c>
      <c r="AF613" s="35">
        <f t="shared" si="111"/>
        <v>0</v>
      </c>
      <c r="AG613" s="35">
        <f t="shared" si="112"/>
        <v>0</v>
      </c>
      <c r="AH613" s="35">
        <f t="shared" si="113"/>
        <v>0</v>
      </c>
      <c r="AI613" s="46" t="s">
        <v>96</v>
      </c>
      <c r="AJ613" s="35">
        <f t="shared" si="114"/>
        <v>0</v>
      </c>
      <c r="AK613" s="35">
        <f t="shared" si="115"/>
        <v>0</v>
      </c>
      <c r="AL613" s="35">
        <f t="shared" si="116"/>
        <v>0</v>
      </c>
      <c r="AN613" s="35">
        <v>21</v>
      </c>
      <c r="AO613" s="35">
        <f t="shared" si="117"/>
        <v>0</v>
      </c>
      <c r="AP613" s="35">
        <f t="shared" si="118"/>
        <v>0</v>
      </c>
      <c r="AQ613" s="62" t="s">
        <v>136</v>
      </c>
      <c r="AV613" s="35">
        <f t="shared" si="119"/>
        <v>0</v>
      </c>
      <c r="AW613" s="35">
        <f t="shared" si="120"/>
        <v>0</v>
      </c>
      <c r="AX613" s="35">
        <f t="shared" si="121"/>
        <v>0</v>
      </c>
      <c r="AY613" s="62" t="s">
        <v>1326</v>
      </c>
      <c r="AZ613" s="62" t="s">
        <v>1172</v>
      </c>
      <c r="BA613" s="46" t="s">
        <v>1173</v>
      </c>
      <c r="BC613" s="35">
        <f t="shared" si="122"/>
        <v>0</v>
      </c>
      <c r="BD613" s="35">
        <f t="shared" si="123"/>
        <v>0</v>
      </c>
      <c r="BE613" s="35">
        <v>0</v>
      </c>
      <c r="BF613" s="35">
        <f>613</f>
        <v>613</v>
      </c>
      <c r="BH613" s="35">
        <f t="shared" si="124"/>
        <v>0</v>
      </c>
      <c r="BI613" s="35">
        <f t="shared" si="125"/>
        <v>0</v>
      </c>
      <c r="BJ613" s="35">
        <f t="shared" si="126"/>
        <v>0</v>
      </c>
      <c r="BK613" s="62" t="s">
        <v>135</v>
      </c>
      <c r="BL613" s="35"/>
      <c r="BW613" s="35">
        <v>21</v>
      </c>
      <c r="BX613" s="3" t="s">
        <v>1345</v>
      </c>
    </row>
    <row r="614" spans="1:76">
      <c r="A614" s="1" t="s">
        <v>1346</v>
      </c>
      <c r="B614" s="2" t="s">
        <v>96</v>
      </c>
      <c r="C614" s="2" t="s">
        <v>1347</v>
      </c>
      <c r="D614" s="92" t="s">
        <v>1348</v>
      </c>
      <c r="E614" s="87"/>
      <c r="F614" s="2" t="s">
        <v>277</v>
      </c>
      <c r="G614" s="35">
        <v>193</v>
      </c>
      <c r="H614" s="61">
        <v>0</v>
      </c>
      <c r="I614" s="35">
        <f t="shared" si="105"/>
        <v>0</v>
      </c>
      <c r="K614" s="51"/>
      <c r="Z614" s="35">
        <f t="shared" si="106"/>
        <v>0</v>
      </c>
      <c r="AB614" s="35">
        <f t="shared" si="107"/>
        <v>0</v>
      </c>
      <c r="AC614" s="35">
        <f t="shared" si="108"/>
        <v>0</v>
      </c>
      <c r="AD614" s="35">
        <f t="shared" si="109"/>
        <v>0</v>
      </c>
      <c r="AE614" s="35">
        <f t="shared" si="110"/>
        <v>0</v>
      </c>
      <c r="AF614" s="35">
        <f t="shared" si="111"/>
        <v>0</v>
      </c>
      <c r="AG614" s="35">
        <f t="shared" si="112"/>
        <v>0</v>
      </c>
      <c r="AH614" s="35">
        <f t="shared" si="113"/>
        <v>0</v>
      </c>
      <c r="AI614" s="46" t="s">
        <v>96</v>
      </c>
      <c r="AJ614" s="35">
        <f t="shared" si="114"/>
        <v>0</v>
      </c>
      <c r="AK614" s="35">
        <f t="shared" si="115"/>
        <v>0</v>
      </c>
      <c r="AL614" s="35">
        <f t="shared" si="116"/>
        <v>0</v>
      </c>
      <c r="AN614" s="35">
        <v>21</v>
      </c>
      <c r="AO614" s="35">
        <f t="shared" si="117"/>
        <v>0</v>
      </c>
      <c r="AP614" s="35">
        <f t="shared" si="118"/>
        <v>0</v>
      </c>
      <c r="AQ614" s="62" t="s">
        <v>136</v>
      </c>
      <c r="AV614" s="35">
        <f t="shared" si="119"/>
        <v>0</v>
      </c>
      <c r="AW614" s="35">
        <f t="shared" si="120"/>
        <v>0</v>
      </c>
      <c r="AX614" s="35">
        <f t="shared" si="121"/>
        <v>0</v>
      </c>
      <c r="AY614" s="62" t="s">
        <v>1326</v>
      </c>
      <c r="AZ614" s="62" t="s">
        <v>1172</v>
      </c>
      <c r="BA614" s="46" t="s">
        <v>1173</v>
      </c>
      <c r="BC614" s="35">
        <f t="shared" si="122"/>
        <v>0</v>
      </c>
      <c r="BD614" s="35">
        <f t="shared" si="123"/>
        <v>0</v>
      </c>
      <c r="BE614" s="35">
        <v>0</v>
      </c>
      <c r="BF614" s="35">
        <f>614</f>
        <v>614</v>
      </c>
      <c r="BH614" s="35">
        <f t="shared" si="124"/>
        <v>0</v>
      </c>
      <c r="BI614" s="35">
        <f t="shared" si="125"/>
        <v>0</v>
      </c>
      <c r="BJ614" s="35">
        <f t="shared" si="126"/>
        <v>0</v>
      </c>
      <c r="BK614" s="62" t="s">
        <v>135</v>
      </c>
      <c r="BL614" s="35"/>
      <c r="BW614" s="35">
        <v>21</v>
      </c>
      <c r="BX614" s="3" t="s">
        <v>1348</v>
      </c>
    </row>
    <row r="615" spans="1:76">
      <c r="A615" s="1" t="s">
        <v>1349</v>
      </c>
      <c r="B615" s="2" t="s">
        <v>96</v>
      </c>
      <c r="C615" s="2" t="s">
        <v>1350</v>
      </c>
      <c r="D615" s="92" t="s">
        <v>1351</v>
      </c>
      <c r="E615" s="87"/>
      <c r="F615" s="2" t="s">
        <v>277</v>
      </c>
      <c r="G615" s="35">
        <v>2</v>
      </c>
      <c r="H615" s="61">
        <v>0</v>
      </c>
      <c r="I615" s="35">
        <f t="shared" si="105"/>
        <v>0</v>
      </c>
      <c r="K615" s="51"/>
      <c r="Z615" s="35">
        <f t="shared" si="106"/>
        <v>0</v>
      </c>
      <c r="AB615" s="35">
        <f t="shared" si="107"/>
        <v>0</v>
      </c>
      <c r="AC615" s="35">
        <f t="shared" si="108"/>
        <v>0</v>
      </c>
      <c r="AD615" s="35">
        <f t="shared" si="109"/>
        <v>0</v>
      </c>
      <c r="AE615" s="35">
        <f t="shared" si="110"/>
        <v>0</v>
      </c>
      <c r="AF615" s="35">
        <f t="shared" si="111"/>
        <v>0</v>
      </c>
      <c r="AG615" s="35">
        <f t="shared" si="112"/>
        <v>0</v>
      </c>
      <c r="AH615" s="35">
        <f t="shared" si="113"/>
        <v>0</v>
      </c>
      <c r="AI615" s="46" t="s">
        <v>96</v>
      </c>
      <c r="AJ615" s="35">
        <f t="shared" si="114"/>
        <v>0</v>
      </c>
      <c r="AK615" s="35">
        <f t="shared" si="115"/>
        <v>0</v>
      </c>
      <c r="AL615" s="35">
        <f t="shared" si="116"/>
        <v>0</v>
      </c>
      <c r="AN615" s="35">
        <v>21</v>
      </c>
      <c r="AO615" s="35">
        <f t="shared" si="117"/>
        <v>0</v>
      </c>
      <c r="AP615" s="35">
        <f t="shared" si="118"/>
        <v>0</v>
      </c>
      <c r="AQ615" s="62" t="s">
        <v>136</v>
      </c>
      <c r="AV615" s="35">
        <f t="shared" si="119"/>
        <v>0</v>
      </c>
      <c r="AW615" s="35">
        <f t="shared" si="120"/>
        <v>0</v>
      </c>
      <c r="AX615" s="35">
        <f t="shared" si="121"/>
        <v>0</v>
      </c>
      <c r="AY615" s="62" t="s">
        <v>1326</v>
      </c>
      <c r="AZ615" s="62" t="s">
        <v>1172</v>
      </c>
      <c r="BA615" s="46" t="s">
        <v>1173</v>
      </c>
      <c r="BC615" s="35">
        <f t="shared" si="122"/>
        <v>0</v>
      </c>
      <c r="BD615" s="35">
        <f t="shared" si="123"/>
        <v>0</v>
      </c>
      <c r="BE615" s="35">
        <v>0</v>
      </c>
      <c r="BF615" s="35">
        <f>615</f>
        <v>615</v>
      </c>
      <c r="BH615" s="35">
        <f t="shared" si="124"/>
        <v>0</v>
      </c>
      <c r="BI615" s="35">
        <f t="shared" si="125"/>
        <v>0</v>
      </c>
      <c r="BJ615" s="35">
        <f t="shared" si="126"/>
        <v>0</v>
      </c>
      <c r="BK615" s="62" t="s">
        <v>135</v>
      </c>
      <c r="BL615" s="35"/>
      <c r="BW615" s="35">
        <v>21</v>
      </c>
      <c r="BX615" s="3" t="s">
        <v>1351</v>
      </c>
    </row>
    <row r="616" spans="1:76">
      <c r="A616" s="1" t="s">
        <v>1352</v>
      </c>
      <c r="B616" s="2" t="s">
        <v>96</v>
      </c>
      <c r="C616" s="2" t="s">
        <v>1353</v>
      </c>
      <c r="D616" s="92" t="s">
        <v>1354</v>
      </c>
      <c r="E616" s="87"/>
      <c r="F616" s="2" t="s">
        <v>1180</v>
      </c>
      <c r="G616" s="35">
        <v>1</v>
      </c>
      <c r="H616" s="61">
        <v>0</v>
      </c>
      <c r="I616" s="35">
        <f t="shared" si="105"/>
        <v>0</v>
      </c>
      <c r="K616" s="51"/>
      <c r="Z616" s="35">
        <f t="shared" si="106"/>
        <v>0</v>
      </c>
      <c r="AB616" s="35">
        <f t="shared" si="107"/>
        <v>0</v>
      </c>
      <c r="AC616" s="35">
        <f t="shared" si="108"/>
        <v>0</v>
      </c>
      <c r="AD616" s="35">
        <f t="shared" si="109"/>
        <v>0</v>
      </c>
      <c r="AE616" s="35">
        <f t="shared" si="110"/>
        <v>0</v>
      </c>
      <c r="AF616" s="35">
        <f t="shared" si="111"/>
        <v>0</v>
      </c>
      <c r="AG616" s="35">
        <f t="shared" si="112"/>
        <v>0</v>
      </c>
      <c r="AH616" s="35">
        <f t="shared" si="113"/>
        <v>0</v>
      </c>
      <c r="AI616" s="46" t="s">
        <v>96</v>
      </c>
      <c r="AJ616" s="35">
        <f t="shared" si="114"/>
        <v>0</v>
      </c>
      <c r="AK616" s="35">
        <f t="shared" si="115"/>
        <v>0</v>
      </c>
      <c r="AL616" s="35">
        <f t="shared" si="116"/>
        <v>0</v>
      </c>
      <c r="AN616" s="35">
        <v>21</v>
      </c>
      <c r="AO616" s="35">
        <f t="shared" si="117"/>
        <v>0</v>
      </c>
      <c r="AP616" s="35">
        <f t="shared" si="118"/>
        <v>0</v>
      </c>
      <c r="AQ616" s="62" t="s">
        <v>136</v>
      </c>
      <c r="AV616" s="35">
        <f t="shared" si="119"/>
        <v>0</v>
      </c>
      <c r="AW616" s="35">
        <f t="shared" si="120"/>
        <v>0</v>
      </c>
      <c r="AX616" s="35">
        <f t="shared" si="121"/>
        <v>0</v>
      </c>
      <c r="AY616" s="62" t="s">
        <v>1326</v>
      </c>
      <c r="AZ616" s="62" t="s">
        <v>1172</v>
      </c>
      <c r="BA616" s="46" t="s">
        <v>1173</v>
      </c>
      <c r="BC616" s="35">
        <f t="shared" si="122"/>
        <v>0</v>
      </c>
      <c r="BD616" s="35">
        <f t="shared" si="123"/>
        <v>0</v>
      </c>
      <c r="BE616" s="35">
        <v>0</v>
      </c>
      <c r="BF616" s="35">
        <f>616</f>
        <v>616</v>
      </c>
      <c r="BH616" s="35">
        <f t="shared" si="124"/>
        <v>0</v>
      </c>
      <c r="BI616" s="35">
        <f t="shared" si="125"/>
        <v>0</v>
      </c>
      <c r="BJ616" s="35">
        <f t="shared" si="126"/>
        <v>0</v>
      </c>
      <c r="BK616" s="62" t="s">
        <v>135</v>
      </c>
      <c r="BL616" s="35"/>
      <c r="BW616" s="35">
        <v>21</v>
      </c>
      <c r="BX616" s="3" t="s">
        <v>1354</v>
      </c>
    </row>
    <row r="617" spans="1:76">
      <c r="A617" s="1" t="s">
        <v>1355</v>
      </c>
      <c r="B617" s="2" t="s">
        <v>96</v>
      </c>
      <c r="C617" s="2" t="s">
        <v>1356</v>
      </c>
      <c r="D617" s="92" t="s">
        <v>1357</v>
      </c>
      <c r="E617" s="87"/>
      <c r="F617" s="2" t="s">
        <v>277</v>
      </c>
      <c r="G617" s="35">
        <v>220</v>
      </c>
      <c r="H617" s="61">
        <v>0</v>
      </c>
      <c r="I617" s="35">
        <f t="shared" si="105"/>
        <v>0</v>
      </c>
      <c r="K617" s="51"/>
      <c r="Z617" s="35">
        <f t="shared" si="106"/>
        <v>0</v>
      </c>
      <c r="AB617" s="35">
        <f t="shared" si="107"/>
        <v>0</v>
      </c>
      <c r="AC617" s="35">
        <f t="shared" si="108"/>
        <v>0</v>
      </c>
      <c r="AD617" s="35">
        <f t="shared" si="109"/>
        <v>0</v>
      </c>
      <c r="AE617" s="35">
        <f t="shared" si="110"/>
        <v>0</v>
      </c>
      <c r="AF617" s="35">
        <f t="shared" si="111"/>
        <v>0</v>
      </c>
      <c r="AG617" s="35">
        <f t="shared" si="112"/>
        <v>0</v>
      </c>
      <c r="AH617" s="35">
        <f t="shared" si="113"/>
        <v>0</v>
      </c>
      <c r="AI617" s="46" t="s">
        <v>96</v>
      </c>
      <c r="AJ617" s="35">
        <f t="shared" si="114"/>
        <v>0</v>
      </c>
      <c r="AK617" s="35">
        <f t="shared" si="115"/>
        <v>0</v>
      </c>
      <c r="AL617" s="35">
        <f t="shared" si="116"/>
        <v>0</v>
      </c>
      <c r="AN617" s="35">
        <v>21</v>
      </c>
      <c r="AO617" s="35">
        <f t="shared" si="117"/>
        <v>0</v>
      </c>
      <c r="AP617" s="35">
        <f t="shared" si="118"/>
        <v>0</v>
      </c>
      <c r="AQ617" s="62" t="s">
        <v>136</v>
      </c>
      <c r="AV617" s="35">
        <f t="shared" si="119"/>
        <v>0</v>
      </c>
      <c r="AW617" s="35">
        <f t="shared" si="120"/>
        <v>0</v>
      </c>
      <c r="AX617" s="35">
        <f t="shared" si="121"/>
        <v>0</v>
      </c>
      <c r="AY617" s="62" t="s">
        <v>1326</v>
      </c>
      <c r="AZ617" s="62" t="s">
        <v>1172</v>
      </c>
      <c r="BA617" s="46" t="s">
        <v>1173</v>
      </c>
      <c r="BC617" s="35">
        <f t="shared" si="122"/>
        <v>0</v>
      </c>
      <c r="BD617" s="35">
        <f t="shared" si="123"/>
        <v>0</v>
      </c>
      <c r="BE617" s="35">
        <v>0</v>
      </c>
      <c r="BF617" s="35">
        <f>617</f>
        <v>617</v>
      </c>
      <c r="BH617" s="35">
        <f t="shared" si="124"/>
        <v>0</v>
      </c>
      <c r="BI617" s="35">
        <f t="shared" si="125"/>
        <v>0</v>
      </c>
      <c r="BJ617" s="35">
        <f t="shared" si="126"/>
        <v>0</v>
      </c>
      <c r="BK617" s="62" t="s">
        <v>135</v>
      </c>
      <c r="BL617" s="35"/>
      <c r="BW617" s="35">
        <v>21</v>
      </c>
      <c r="BX617" s="3" t="s">
        <v>1357</v>
      </c>
    </row>
    <row r="618" spans="1:76">
      <c r="A618" s="1" t="s">
        <v>1358</v>
      </c>
      <c r="B618" s="2" t="s">
        <v>96</v>
      </c>
      <c r="C618" s="2" t="s">
        <v>1359</v>
      </c>
      <c r="D618" s="92" t="s">
        <v>1360</v>
      </c>
      <c r="E618" s="87"/>
      <c r="F618" s="2" t="s">
        <v>277</v>
      </c>
      <c r="G618" s="35">
        <v>18</v>
      </c>
      <c r="H618" s="61">
        <v>0</v>
      </c>
      <c r="I618" s="35">
        <f t="shared" si="105"/>
        <v>0</v>
      </c>
      <c r="K618" s="51"/>
      <c r="Z618" s="35">
        <f t="shared" si="106"/>
        <v>0</v>
      </c>
      <c r="AB618" s="35">
        <f t="shared" si="107"/>
        <v>0</v>
      </c>
      <c r="AC618" s="35">
        <f t="shared" si="108"/>
        <v>0</v>
      </c>
      <c r="AD618" s="35">
        <f t="shared" si="109"/>
        <v>0</v>
      </c>
      <c r="AE618" s="35">
        <f t="shared" si="110"/>
        <v>0</v>
      </c>
      <c r="AF618" s="35">
        <f t="shared" si="111"/>
        <v>0</v>
      </c>
      <c r="AG618" s="35">
        <f t="shared" si="112"/>
        <v>0</v>
      </c>
      <c r="AH618" s="35">
        <f t="shared" si="113"/>
        <v>0</v>
      </c>
      <c r="AI618" s="46" t="s">
        <v>96</v>
      </c>
      <c r="AJ618" s="35">
        <f t="shared" si="114"/>
        <v>0</v>
      </c>
      <c r="AK618" s="35">
        <f t="shared" si="115"/>
        <v>0</v>
      </c>
      <c r="AL618" s="35">
        <f t="shared" si="116"/>
        <v>0</v>
      </c>
      <c r="AN618" s="35">
        <v>21</v>
      </c>
      <c r="AO618" s="35">
        <f t="shared" si="117"/>
        <v>0</v>
      </c>
      <c r="AP618" s="35">
        <f t="shared" si="118"/>
        <v>0</v>
      </c>
      <c r="AQ618" s="62" t="s">
        <v>136</v>
      </c>
      <c r="AV618" s="35">
        <f t="shared" si="119"/>
        <v>0</v>
      </c>
      <c r="AW618" s="35">
        <f t="shared" si="120"/>
        <v>0</v>
      </c>
      <c r="AX618" s="35">
        <f t="shared" si="121"/>
        <v>0</v>
      </c>
      <c r="AY618" s="62" t="s">
        <v>1326</v>
      </c>
      <c r="AZ618" s="62" t="s">
        <v>1172</v>
      </c>
      <c r="BA618" s="46" t="s">
        <v>1173</v>
      </c>
      <c r="BC618" s="35">
        <f t="shared" si="122"/>
        <v>0</v>
      </c>
      <c r="BD618" s="35">
        <f t="shared" si="123"/>
        <v>0</v>
      </c>
      <c r="BE618" s="35">
        <v>0</v>
      </c>
      <c r="BF618" s="35">
        <f>618</f>
        <v>618</v>
      </c>
      <c r="BH618" s="35">
        <f t="shared" si="124"/>
        <v>0</v>
      </c>
      <c r="BI618" s="35">
        <f t="shared" si="125"/>
        <v>0</v>
      </c>
      <c r="BJ618" s="35">
        <f t="shared" si="126"/>
        <v>0</v>
      </c>
      <c r="BK618" s="62" t="s">
        <v>135</v>
      </c>
      <c r="BL618" s="35"/>
      <c r="BW618" s="35">
        <v>21</v>
      </c>
      <c r="BX618" s="3" t="s">
        <v>1360</v>
      </c>
    </row>
    <row r="619" spans="1:76">
      <c r="A619" s="1" t="s">
        <v>1361</v>
      </c>
      <c r="B619" s="2" t="s">
        <v>96</v>
      </c>
      <c r="C619" s="2" t="s">
        <v>1362</v>
      </c>
      <c r="D619" s="92" t="s">
        <v>1363</v>
      </c>
      <c r="E619" s="87"/>
      <c r="F619" s="2" t="s">
        <v>1330</v>
      </c>
      <c r="G619" s="35">
        <v>16</v>
      </c>
      <c r="H619" s="61">
        <v>0</v>
      </c>
      <c r="I619" s="35">
        <f t="shared" si="105"/>
        <v>0</v>
      </c>
      <c r="K619" s="51"/>
      <c r="Z619" s="35">
        <f t="shared" si="106"/>
        <v>0</v>
      </c>
      <c r="AB619" s="35">
        <f t="shared" si="107"/>
        <v>0</v>
      </c>
      <c r="AC619" s="35">
        <f t="shared" si="108"/>
        <v>0</v>
      </c>
      <c r="AD619" s="35">
        <f t="shared" si="109"/>
        <v>0</v>
      </c>
      <c r="AE619" s="35">
        <f t="shared" si="110"/>
        <v>0</v>
      </c>
      <c r="AF619" s="35">
        <f t="shared" si="111"/>
        <v>0</v>
      </c>
      <c r="AG619" s="35">
        <f t="shared" si="112"/>
        <v>0</v>
      </c>
      <c r="AH619" s="35">
        <f t="shared" si="113"/>
        <v>0</v>
      </c>
      <c r="AI619" s="46" t="s">
        <v>96</v>
      </c>
      <c r="AJ619" s="35">
        <f t="shared" si="114"/>
        <v>0</v>
      </c>
      <c r="AK619" s="35">
        <f t="shared" si="115"/>
        <v>0</v>
      </c>
      <c r="AL619" s="35">
        <f t="shared" si="116"/>
        <v>0</v>
      </c>
      <c r="AN619" s="35">
        <v>21</v>
      </c>
      <c r="AO619" s="35">
        <f t="shared" si="117"/>
        <v>0</v>
      </c>
      <c r="AP619" s="35">
        <f t="shared" si="118"/>
        <v>0</v>
      </c>
      <c r="AQ619" s="62" t="s">
        <v>136</v>
      </c>
      <c r="AV619" s="35">
        <f t="shared" si="119"/>
        <v>0</v>
      </c>
      <c r="AW619" s="35">
        <f t="shared" si="120"/>
        <v>0</v>
      </c>
      <c r="AX619" s="35">
        <f t="shared" si="121"/>
        <v>0</v>
      </c>
      <c r="AY619" s="62" t="s">
        <v>1326</v>
      </c>
      <c r="AZ619" s="62" t="s">
        <v>1172</v>
      </c>
      <c r="BA619" s="46" t="s">
        <v>1173</v>
      </c>
      <c r="BC619" s="35">
        <f t="shared" si="122"/>
        <v>0</v>
      </c>
      <c r="BD619" s="35">
        <f t="shared" si="123"/>
        <v>0</v>
      </c>
      <c r="BE619" s="35">
        <v>0</v>
      </c>
      <c r="BF619" s="35">
        <f>619</f>
        <v>619</v>
      </c>
      <c r="BH619" s="35">
        <f t="shared" si="124"/>
        <v>0</v>
      </c>
      <c r="BI619" s="35">
        <f t="shared" si="125"/>
        <v>0</v>
      </c>
      <c r="BJ619" s="35">
        <f t="shared" si="126"/>
        <v>0</v>
      </c>
      <c r="BK619" s="62" t="s">
        <v>135</v>
      </c>
      <c r="BL619" s="35"/>
      <c r="BW619" s="35">
        <v>21</v>
      </c>
      <c r="BX619" s="3" t="s">
        <v>1363</v>
      </c>
    </row>
    <row r="620" spans="1:76">
      <c r="A620" s="1" t="s">
        <v>1364</v>
      </c>
      <c r="B620" s="2" t="s">
        <v>96</v>
      </c>
      <c r="C620" s="2" t="s">
        <v>1365</v>
      </c>
      <c r="D620" s="92" t="s">
        <v>1366</v>
      </c>
      <c r="E620" s="87"/>
      <c r="F620" s="2" t="s">
        <v>1330</v>
      </c>
      <c r="G620" s="35">
        <v>64</v>
      </c>
      <c r="H620" s="61">
        <v>0</v>
      </c>
      <c r="I620" s="35">
        <f t="shared" si="105"/>
        <v>0</v>
      </c>
      <c r="K620" s="51"/>
      <c r="Z620" s="35">
        <f t="shared" si="106"/>
        <v>0</v>
      </c>
      <c r="AB620" s="35">
        <f t="shared" si="107"/>
        <v>0</v>
      </c>
      <c r="AC620" s="35">
        <f t="shared" si="108"/>
        <v>0</v>
      </c>
      <c r="AD620" s="35">
        <f t="shared" si="109"/>
        <v>0</v>
      </c>
      <c r="AE620" s="35">
        <f t="shared" si="110"/>
        <v>0</v>
      </c>
      <c r="AF620" s="35">
        <f t="shared" si="111"/>
        <v>0</v>
      </c>
      <c r="AG620" s="35">
        <f t="shared" si="112"/>
        <v>0</v>
      </c>
      <c r="AH620" s="35">
        <f t="shared" si="113"/>
        <v>0</v>
      </c>
      <c r="AI620" s="46" t="s">
        <v>96</v>
      </c>
      <c r="AJ620" s="35">
        <f t="shared" si="114"/>
        <v>0</v>
      </c>
      <c r="AK620" s="35">
        <f t="shared" si="115"/>
        <v>0</v>
      </c>
      <c r="AL620" s="35">
        <f t="shared" si="116"/>
        <v>0</v>
      </c>
      <c r="AN620" s="35">
        <v>21</v>
      </c>
      <c r="AO620" s="35">
        <f t="shared" si="117"/>
        <v>0</v>
      </c>
      <c r="AP620" s="35">
        <f t="shared" si="118"/>
        <v>0</v>
      </c>
      <c r="AQ620" s="62" t="s">
        <v>136</v>
      </c>
      <c r="AV620" s="35">
        <f t="shared" si="119"/>
        <v>0</v>
      </c>
      <c r="AW620" s="35">
        <f t="shared" si="120"/>
        <v>0</v>
      </c>
      <c r="AX620" s="35">
        <f t="shared" si="121"/>
        <v>0</v>
      </c>
      <c r="AY620" s="62" t="s">
        <v>1326</v>
      </c>
      <c r="AZ620" s="62" t="s">
        <v>1172</v>
      </c>
      <c r="BA620" s="46" t="s">
        <v>1173</v>
      </c>
      <c r="BC620" s="35">
        <f t="shared" si="122"/>
        <v>0</v>
      </c>
      <c r="BD620" s="35">
        <f t="shared" si="123"/>
        <v>0</v>
      </c>
      <c r="BE620" s="35">
        <v>0</v>
      </c>
      <c r="BF620" s="35">
        <f>620</f>
        <v>620</v>
      </c>
      <c r="BH620" s="35">
        <f t="shared" si="124"/>
        <v>0</v>
      </c>
      <c r="BI620" s="35">
        <f t="shared" si="125"/>
        <v>0</v>
      </c>
      <c r="BJ620" s="35">
        <f t="shared" si="126"/>
        <v>0</v>
      </c>
      <c r="BK620" s="62" t="s">
        <v>135</v>
      </c>
      <c r="BL620" s="35"/>
      <c r="BW620" s="35">
        <v>21</v>
      </c>
      <c r="BX620" s="3" t="s">
        <v>1366</v>
      </c>
    </row>
    <row r="621" spans="1:76">
      <c r="A621" s="4" t="s">
        <v>1367</v>
      </c>
      <c r="B621" s="5" t="s">
        <v>96</v>
      </c>
      <c r="C621" s="5" t="s">
        <v>1368</v>
      </c>
      <c r="D621" s="182" t="s">
        <v>1369</v>
      </c>
      <c r="E621" s="90"/>
      <c r="F621" s="5" t="s">
        <v>1370</v>
      </c>
      <c r="G621" s="78">
        <v>70</v>
      </c>
      <c r="H621" s="79">
        <v>0</v>
      </c>
      <c r="I621" s="78">
        <f t="shared" si="105"/>
        <v>0</v>
      </c>
      <c r="J621" s="80"/>
      <c r="K621" s="81"/>
      <c r="Z621" s="35">
        <f t="shared" si="106"/>
        <v>0</v>
      </c>
      <c r="AB621" s="35">
        <f t="shared" si="107"/>
        <v>0</v>
      </c>
      <c r="AC621" s="35">
        <f t="shared" si="108"/>
        <v>0</v>
      </c>
      <c r="AD621" s="35">
        <f t="shared" si="109"/>
        <v>0</v>
      </c>
      <c r="AE621" s="35">
        <f t="shared" si="110"/>
        <v>0</v>
      </c>
      <c r="AF621" s="35">
        <f t="shared" si="111"/>
        <v>0</v>
      </c>
      <c r="AG621" s="35">
        <f t="shared" si="112"/>
        <v>0</v>
      </c>
      <c r="AH621" s="35">
        <f t="shared" si="113"/>
        <v>0</v>
      </c>
      <c r="AI621" s="46" t="s">
        <v>96</v>
      </c>
      <c r="AJ621" s="35">
        <f t="shared" si="114"/>
        <v>0</v>
      </c>
      <c r="AK621" s="35">
        <f t="shared" si="115"/>
        <v>0</v>
      </c>
      <c r="AL621" s="35">
        <f t="shared" si="116"/>
        <v>0</v>
      </c>
      <c r="AN621" s="35">
        <v>21</v>
      </c>
      <c r="AO621" s="35">
        <f t="shared" si="117"/>
        <v>0</v>
      </c>
      <c r="AP621" s="35">
        <f t="shared" si="118"/>
        <v>0</v>
      </c>
      <c r="AQ621" s="62" t="s">
        <v>136</v>
      </c>
      <c r="AV621" s="35">
        <f t="shared" si="119"/>
        <v>0</v>
      </c>
      <c r="AW621" s="35">
        <f t="shared" si="120"/>
        <v>0</v>
      </c>
      <c r="AX621" s="35">
        <f t="shared" si="121"/>
        <v>0</v>
      </c>
      <c r="AY621" s="62" t="s">
        <v>1326</v>
      </c>
      <c r="AZ621" s="62" t="s">
        <v>1172</v>
      </c>
      <c r="BA621" s="46" t="s">
        <v>1173</v>
      </c>
      <c r="BC621" s="35">
        <f t="shared" si="122"/>
        <v>0</v>
      </c>
      <c r="BD621" s="35">
        <f t="shared" si="123"/>
        <v>0</v>
      </c>
      <c r="BE621" s="35">
        <v>0</v>
      </c>
      <c r="BF621" s="35">
        <f>621</f>
        <v>621</v>
      </c>
      <c r="BH621" s="35">
        <f t="shared" si="124"/>
        <v>0</v>
      </c>
      <c r="BI621" s="35">
        <f t="shared" si="125"/>
        <v>0</v>
      </c>
      <c r="BJ621" s="35">
        <f t="shared" si="126"/>
        <v>0</v>
      </c>
      <c r="BK621" s="62" t="s">
        <v>135</v>
      </c>
      <c r="BL621" s="35"/>
      <c r="BW621" s="35">
        <v>21</v>
      </c>
      <c r="BX621" s="3" t="s">
        <v>1369</v>
      </c>
    </row>
    <row r="622" spans="1:76">
      <c r="I622" s="38">
        <f>ROUND(I14+I33+I38+I49+I66+I74+I79+I89+I106+I135+I147+I184+I204+I206+I214+I217+I231+I248+I261+I264+I280+I284+I300+I311+I324+I329+I331+I340+I348+I361+I374+I388+I470+I474+I490+I519+I524+I529+I537+I540+I548+I555+I572+I576+I578+I606,0)</f>
        <v>0</v>
      </c>
    </row>
    <row r="623" spans="1:76">
      <c r="A623" s="39" t="s">
        <v>56</v>
      </c>
    </row>
    <row r="624" spans="1:76" ht="12.75" customHeight="1">
      <c r="A624" s="92" t="s">
        <v>4</v>
      </c>
      <c r="B624" s="87"/>
      <c r="C624" s="87"/>
      <c r="D624" s="87"/>
      <c r="E624" s="87"/>
      <c r="F624" s="87"/>
      <c r="G624" s="87"/>
      <c r="H624" s="87"/>
      <c r="I624" s="87"/>
      <c r="J624" s="87"/>
      <c r="K624" s="87"/>
    </row>
  </sheetData>
  <sheetProtection password="CF7A" sheet="1"/>
  <mergeCells count="458">
    <mergeCell ref="D621:E621"/>
    <mergeCell ref="A624:K624"/>
    <mergeCell ref="D616:E616"/>
    <mergeCell ref="D617:E617"/>
    <mergeCell ref="D618:E618"/>
    <mergeCell ref="D619:E619"/>
    <mergeCell ref="D620:E620"/>
    <mergeCell ref="D611:E611"/>
    <mergeCell ref="D612:E612"/>
    <mergeCell ref="D613:E613"/>
    <mergeCell ref="D614:E614"/>
    <mergeCell ref="D615:E615"/>
    <mergeCell ref="D606:E606"/>
    <mergeCell ref="D607:E607"/>
    <mergeCell ref="D608:E608"/>
    <mergeCell ref="D609:E609"/>
    <mergeCell ref="D610:E610"/>
    <mergeCell ref="D601:E601"/>
    <mergeCell ref="D602:E602"/>
    <mergeCell ref="D603:E603"/>
    <mergeCell ref="D604:E604"/>
    <mergeCell ref="D605:K605"/>
    <mergeCell ref="D596:E596"/>
    <mergeCell ref="D597:E597"/>
    <mergeCell ref="D598:E598"/>
    <mergeCell ref="D599:E599"/>
    <mergeCell ref="D600:E600"/>
    <mergeCell ref="D591:E591"/>
    <mergeCell ref="D592:E592"/>
    <mergeCell ref="D593:E593"/>
    <mergeCell ref="D594:E594"/>
    <mergeCell ref="D595:E595"/>
    <mergeCell ref="D586:E586"/>
    <mergeCell ref="D587:E587"/>
    <mergeCell ref="D588:E588"/>
    <mergeCell ref="D589:E589"/>
    <mergeCell ref="D590:E590"/>
    <mergeCell ref="D581:E581"/>
    <mergeCell ref="D582:E582"/>
    <mergeCell ref="D583:E583"/>
    <mergeCell ref="D584:E584"/>
    <mergeCell ref="D585:E585"/>
    <mergeCell ref="D576:E576"/>
    <mergeCell ref="D577:E577"/>
    <mergeCell ref="D578:E578"/>
    <mergeCell ref="D579:E579"/>
    <mergeCell ref="D580:E580"/>
    <mergeCell ref="D571:E571"/>
    <mergeCell ref="D572:E572"/>
    <mergeCell ref="D573:E573"/>
    <mergeCell ref="D574:E574"/>
    <mergeCell ref="D575:E575"/>
    <mergeCell ref="D566:E566"/>
    <mergeCell ref="D567:E567"/>
    <mergeCell ref="D568:E568"/>
    <mergeCell ref="D569:E569"/>
    <mergeCell ref="D570:E570"/>
    <mergeCell ref="D561:E561"/>
    <mergeCell ref="D562:E562"/>
    <mergeCell ref="D563:E563"/>
    <mergeCell ref="D564:E564"/>
    <mergeCell ref="D565:E565"/>
    <mergeCell ref="D556:E556"/>
    <mergeCell ref="D557:E557"/>
    <mergeCell ref="D558:E558"/>
    <mergeCell ref="D559:E559"/>
    <mergeCell ref="D560:E560"/>
    <mergeCell ref="D551:E551"/>
    <mergeCell ref="D552:K552"/>
    <mergeCell ref="D553:E553"/>
    <mergeCell ref="D554:E554"/>
    <mergeCell ref="D555:E555"/>
    <mergeCell ref="D546:E546"/>
    <mergeCell ref="D547:E547"/>
    <mergeCell ref="D548:E548"/>
    <mergeCell ref="D549:E549"/>
    <mergeCell ref="D550:K550"/>
    <mergeCell ref="D540:E540"/>
    <mergeCell ref="D541:E541"/>
    <mergeCell ref="D542:E542"/>
    <mergeCell ref="D544:E544"/>
    <mergeCell ref="D545:E545"/>
    <mergeCell ref="D535:E535"/>
    <mergeCell ref="D536:K536"/>
    <mergeCell ref="D537:E537"/>
    <mergeCell ref="D538:E538"/>
    <mergeCell ref="D539:K539"/>
    <mergeCell ref="D526:K526"/>
    <mergeCell ref="D529:E529"/>
    <mergeCell ref="D530:E530"/>
    <mergeCell ref="D531:E531"/>
    <mergeCell ref="D533:E533"/>
    <mergeCell ref="D521:K521"/>
    <mergeCell ref="D522:E522"/>
    <mergeCell ref="D523:K523"/>
    <mergeCell ref="D524:E524"/>
    <mergeCell ref="D525:E525"/>
    <mergeCell ref="D513:E513"/>
    <mergeCell ref="D515:E515"/>
    <mergeCell ref="D517:E517"/>
    <mergeCell ref="D519:E519"/>
    <mergeCell ref="D520:E520"/>
    <mergeCell ref="D505:E505"/>
    <mergeCell ref="D506:E506"/>
    <mergeCell ref="D507:E507"/>
    <mergeCell ref="D509:E509"/>
    <mergeCell ref="D511:E511"/>
    <mergeCell ref="D500:K500"/>
    <mergeCell ref="D501:E501"/>
    <mergeCell ref="D502:K502"/>
    <mergeCell ref="D503:E503"/>
    <mergeCell ref="D504:E504"/>
    <mergeCell ref="D495:E495"/>
    <mergeCell ref="D496:K496"/>
    <mergeCell ref="D497:E497"/>
    <mergeCell ref="D498:K498"/>
    <mergeCell ref="D499:E499"/>
    <mergeCell ref="D490:E490"/>
    <mergeCell ref="D491:E491"/>
    <mergeCell ref="D492:K492"/>
    <mergeCell ref="D493:E493"/>
    <mergeCell ref="D494:K494"/>
    <mergeCell ref="D485:E485"/>
    <mergeCell ref="D486:E486"/>
    <mergeCell ref="D487:E487"/>
    <mergeCell ref="D488:K488"/>
    <mergeCell ref="D489:E489"/>
    <mergeCell ref="D479:K479"/>
    <mergeCell ref="D480:E480"/>
    <mergeCell ref="D481:K481"/>
    <mergeCell ref="D482:E482"/>
    <mergeCell ref="D483:E483"/>
    <mergeCell ref="D474:E474"/>
    <mergeCell ref="D475:E475"/>
    <mergeCell ref="D476:E476"/>
    <mergeCell ref="D477:K477"/>
    <mergeCell ref="D478:E478"/>
    <mergeCell ref="D466:E466"/>
    <mergeCell ref="D467:E467"/>
    <mergeCell ref="D468:E468"/>
    <mergeCell ref="D470:E470"/>
    <mergeCell ref="D471:E471"/>
    <mergeCell ref="D454:K454"/>
    <mergeCell ref="D458:E458"/>
    <mergeCell ref="D459:K459"/>
    <mergeCell ref="D463:E463"/>
    <mergeCell ref="D464:K464"/>
    <mergeCell ref="D443:K443"/>
    <mergeCell ref="D448:E448"/>
    <mergeCell ref="D449:K449"/>
    <mergeCell ref="D451:E451"/>
    <mergeCell ref="D453:E453"/>
    <mergeCell ref="D434:E434"/>
    <mergeCell ref="D435:K435"/>
    <mergeCell ref="D439:E439"/>
    <mergeCell ref="D440:K440"/>
    <mergeCell ref="D442:E442"/>
    <mergeCell ref="D426:E426"/>
    <mergeCell ref="D427:K427"/>
    <mergeCell ref="D429:E429"/>
    <mergeCell ref="D430:E430"/>
    <mergeCell ref="D431:K431"/>
    <mergeCell ref="D413:K413"/>
    <mergeCell ref="D419:E419"/>
    <mergeCell ref="D420:K420"/>
    <mergeCell ref="D423:E423"/>
    <mergeCell ref="D424:K424"/>
    <mergeCell ref="D406:E406"/>
    <mergeCell ref="D407:K407"/>
    <mergeCell ref="D409:E409"/>
    <mergeCell ref="D410:K410"/>
    <mergeCell ref="D412:E412"/>
    <mergeCell ref="D393:K393"/>
    <mergeCell ref="D395:E395"/>
    <mergeCell ref="D396:K396"/>
    <mergeCell ref="D399:E399"/>
    <mergeCell ref="D400:K400"/>
    <mergeCell ref="D388:E388"/>
    <mergeCell ref="D389:E389"/>
    <mergeCell ref="D390:E390"/>
    <mergeCell ref="D391:E391"/>
    <mergeCell ref="D392:E392"/>
    <mergeCell ref="D383:E383"/>
    <mergeCell ref="D384:E384"/>
    <mergeCell ref="D385:E385"/>
    <mergeCell ref="D386:E386"/>
    <mergeCell ref="D387:E387"/>
    <mergeCell ref="D376:E376"/>
    <mergeCell ref="D377:E377"/>
    <mergeCell ref="D380:E380"/>
    <mergeCell ref="D381:E381"/>
    <mergeCell ref="D382:E382"/>
    <mergeCell ref="D367:E367"/>
    <mergeCell ref="D370:E370"/>
    <mergeCell ref="D373:E373"/>
    <mergeCell ref="D374:E374"/>
    <mergeCell ref="D375:E375"/>
    <mergeCell ref="D357:E357"/>
    <mergeCell ref="D360:E360"/>
    <mergeCell ref="D361:E361"/>
    <mergeCell ref="D362:E362"/>
    <mergeCell ref="D365:E365"/>
    <mergeCell ref="D348:E348"/>
    <mergeCell ref="D349:E349"/>
    <mergeCell ref="D351:E351"/>
    <mergeCell ref="D353:E353"/>
    <mergeCell ref="D355:E355"/>
    <mergeCell ref="D341:E341"/>
    <mergeCell ref="D343:E343"/>
    <mergeCell ref="D344:E344"/>
    <mergeCell ref="D346:E346"/>
    <mergeCell ref="D347:E347"/>
    <mergeCell ref="D333:K333"/>
    <mergeCell ref="D335:E335"/>
    <mergeCell ref="D337:E337"/>
    <mergeCell ref="D339:E339"/>
    <mergeCell ref="D340:E340"/>
    <mergeCell ref="D327:E327"/>
    <mergeCell ref="D329:E329"/>
    <mergeCell ref="D330:E330"/>
    <mergeCell ref="D331:E331"/>
    <mergeCell ref="D332:E332"/>
    <mergeCell ref="D319:E319"/>
    <mergeCell ref="D320:K320"/>
    <mergeCell ref="D322:E322"/>
    <mergeCell ref="D324:E324"/>
    <mergeCell ref="D325:E325"/>
    <mergeCell ref="D311:E311"/>
    <mergeCell ref="D312:E312"/>
    <mergeCell ref="D313:E313"/>
    <mergeCell ref="D314:E314"/>
    <mergeCell ref="D316:E316"/>
    <mergeCell ref="D303:E303"/>
    <mergeCell ref="D305:E305"/>
    <mergeCell ref="D306:E306"/>
    <mergeCell ref="D307:K307"/>
    <mergeCell ref="D309:E309"/>
    <mergeCell ref="D292:E292"/>
    <mergeCell ref="D295:E295"/>
    <mergeCell ref="D298:E298"/>
    <mergeCell ref="D300:E300"/>
    <mergeCell ref="D301:E301"/>
    <mergeCell ref="D284:E284"/>
    <mergeCell ref="D285:E285"/>
    <mergeCell ref="D287:E287"/>
    <mergeCell ref="D289:E289"/>
    <mergeCell ref="D291:E291"/>
    <mergeCell ref="D279:E279"/>
    <mergeCell ref="D280:E280"/>
    <mergeCell ref="D281:E281"/>
    <mergeCell ref="D282:E282"/>
    <mergeCell ref="D283:E283"/>
    <mergeCell ref="D269:E269"/>
    <mergeCell ref="D271:E271"/>
    <mergeCell ref="D272:E272"/>
    <mergeCell ref="D274:E274"/>
    <mergeCell ref="D277:E277"/>
    <mergeCell ref="D262:E262"/>
    <mergeCell ref="D263:E263"/>
    <mergeCell ref="D264:E264"/>
    <mergeCell ref="D265:E265"/>
    <mergeCell ref="D267:E267"/>
    <mergeCell ref="D254:E254"/>
    <mergeCell ref="D255:E255"/>
    <mergeCell ref="D257:E257"/>
    <mergeCell ref="D259:E259"/>
    <mergeCell ref="D261:E261"/>
    <mergeCell ref="D246:E246"/>
    <mergeCell ref="D248:E248"/>
    <mergeCell ref="D249:E249"/>
    <mergeCell ref="D252:E252"/>
    <mergeCell ref="D253:E253"/>
    <mergeCell ref="D241:K241"/>
    <mergeCell ref="D242:E242"/>
    <mergeCell ref="D243:K243"/>
    <mergeCell ref="D244:E244"/>
    <mergeCell ref="D245:K245"/>
    <mergeCell ref="D235:E235"/>
    <mergeCell ref="D236:K236"/>
    <mergeCell ref="D238:E238"/>
    <mergeCell ref="D239:E239"/>
    <mergeCell ref="D240:E240"/>
    <mergeCell ref="D228:E228"/>
    <mergeCell ref="D230:E230"/>
    <mergeCell ref="D231:E231"/>
    <mergeCell ref="D232:E232"/>
    <mergeCell ref="D233:K233"/>
    <mergeCell ref="D217:E217"/>
    <mergeCell ref="D218:E218"/>
    <mergeCell ref="D220:E220"/>
    <mergeCell ref="D224:E224"/>
    <mergeCell ref="D226:E226"/>
    <mergeCell ref="D210:E210"/>
    <mergeCell ref="D212:E212"/>
    <mergeCell ref="D213:E213"/>
    <mergeCell ref="D214:E214"/>
    <mergeCell ref="D215:E215"/>
    <mergeCell ref="D204:E204"/>
    <mergeCell ref="D205:E205"/>
    <mergeCell ref="D206:E206"/>
    <mergeCell ref="D207:E207"/>
    <mergeCell ref="D208:K208"/>
    <mergeCell ref="D196:E196"/>
    <mergeCell ref="D198:E198"/>
    <mergeCell ref="D200:E200"/>
    <mergeCell ref="D201:K201"/>
    <mergeCell ref="D203:E203"/>
    <mergeCell ref="D190:E190"/>
    <mergeCell ref="D191:K191"/>
    <mergeCell ref="D192:E192"/>
    <mergeCell ref="D193:E193"/>
    <mergeCell ref="D195:E195"/>
    <mergeCell ref="D184:E184"/>
    <mergeCell ref="D185:E185"/>
    <mergeCell ref="D186:E186"/>
    <mergeCell ref="D188:E188"/>
    <mergeCell ref="D189:E189"/>
    <mergeCell ref="D173:E173"/>
    <mergeCell ref="D174:K174"/>
    <mergeCell ref="D176:E176"/>
    <mergeCell ref="D177:K177"/>
    <mergeCell ref="D179:E179"/>
    <mergeCell ref="D166:E166"/>
    <mergeCell ref="D167:E167"/>
    <mergeCell ref="D168:K168"/>
    <mergeCell ref="D170:E170"/>
    <mergeCell ref="D171:K171"/>
    <mergeCell ref="D159:E159"/>
    <mergeCell ref="D160:E160"/>
    <mergeCell ref="D161:E161"/>
    <mergeCell ref="D163:E163"/>
    <mergeCell ref="D165:E165"/>
    <mergeCell ref="D154:K154"/>
    <mergeCell ref="D155:E155"/>
    <mergeCell ref="D156:K156"/>
    <mergeCell ref="D157:E157"/>
    <mergeCell ref="D158:K158"/>
    <mergeCell ref="D147:E147"/>
    <mergeCell ref="D148:E148"/>
    <mergeCell ref="D151:E151"/>
    <mergeCell ref="D152:K152"/>
    <mergeCell ref="D153:E153"/>
    <mergeCell ref="D139:E139"/>
    <mergeCell ref="D141:E141"/>
    <mergeCell ref="D142:E142"/>
    <mergeCell ref="D144:E144"/>
    <mergeCell ref="D145:E145"/>
    <mergeCell ref="D131:E131"/>
    <mergeCell ref="D133:E133"/>
    <mergeCell ref="D135:E135"/>
    <mergeCell ref="D136:E136"/>
    <mergeCell ref="D138:E138"/>
    <mergeCell ref="D120:E120"/>
    <mergeCell ref="D122:E122"/>
    <mergeCell ref="D125:E125"/>
    <mergeCell ref="D127:E127"/>
    <mergeCell ref="D129:E129"/>
    <mergeCell ref="D113:E113"/>
    <mergeCell ref="D114:E114"/>
    <mergeCell ref="D116:E116"/>
    <mergeCell ref="D117:E117"/>
    <mergeCell ref="D119:E119"/>
    <mergeCell ref="D103:K103"/>
    <mergeCell ref="D105:E105"/>
    <mergeCell ref="D106:E106"/>
    <mergeCell ref="D107:E107"/>
    <mergeCell ref="D109:E109"/>
    <mergeCell ref="D94:E94"/>
    <mergeCell ref="D96:E96"/>
    <mergeCell ref="D98:E98"/>
    <mergeCell ref="D99:K99"/>
    <mergeCell ref="D102:E102"/>
    <mergeCell ref="D89:E89"/>
    <mergeCell ref="D90:E90"/>
    <mergeCell ref="D91:E91"/>
    <mergeCell ref="D92:E92"/>
    <mergeCell ref="D93:E93"/>
    <mergeCell ref="D77:E77"/>
    <mergeCell ref="D79:E79"/>
    <mergeCell ref="D80:E80"/>
    <mergeCell ref="D84:E84"/>
    <mergeCell ref="D88:E88"/>
    <mergeCell ref="D71:E71"/>
    <mergeCell ref="D72:E72"/>
    <mergeCell ref="D73:E73"/>
    <mergeCell ref="D74:E74"/>
    <mergeCell ref="D75:E75"/>
    <mergeCell ref="D66:E66"/>
    <mergeCell ref="D67:E67"/>
    <mergeCell ref="D68:E68"/>
    <mergeCell ref="D69:E69"/>
    <mergeCell ref="D70:E70"/>
    <mergeCell ref="D50:E50"/>
    <mergeCell ref="D52:E52"/>
    <mergeCell ref="D54:E54"/>
    <mergeCell ref="D59:E59"/>
    <mergeCell ref="D63:E63"/>
    <mergeCell ref="D43:E43"/>
    <mergeCell ref="D44:E44"/>
    <mergeCell ref="D46:E46"/>
    <mergeCell ref="D47:E47"/>
    <mergeCell ref="D49:E49"/>
    <mergeCell ref="D36:E36"/>
    <mergeCell ref="D37:E37"/>
    <mergeCell ref="D38:E38"/>
    <mergeCell ref="D39:E39"/>
    <mergeCell ref="D40:E40"/>
    <mergeCell ref="D31:E31"/>
    <mergeCell ref="D32:E32"/>
    <mergeCell ref="D33:E33"/>
    <mergeCell ref="D34:E34"/>
    <mergeCell ref="D35:E35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J2:K3"/>
    <mergeCell ref="J4:K5"/>
    <mergeCell ref="J6:K7"/>
    <mergeCell ref="J8:K9"/>
    <mergeCell ref="D10:E10"/>
    <mergeCell ref="D8:E9"/>
    <mergeCell ref="H2:H3"/>
    <mergeCell ref="H4:H5"/>
    <mergeCell ref="H6:H7"/>
    <mergeCell ref="H8:H9"/>
    <mergeCell ref="A1:K1"/>
    <mergeCell ref="A2:C3"/>
    <mergeCell ref="A4:C5"/>
    <mergeCell ref="A6:C7"/>
    <mergeCell ref="A8:C9"/>
    <mergeCell ref="F2:G3"/>
    <mergeCell ref="F4:G5"/>
    <mergeCell ref="F6:G7"/>
    <mergeCell ref="F8:G9"/>
    <mergeCell ref="I2:I3"/>
    <mergeCell ref="I4:I5"/>
    <mergeCell ref="I6:I7"/>
    <mergeCell ref="I8:I9"/>
    <mergeCell ref="D2:E3"/>
    <mergeCell ref="D4:E5"/>
    <mergeCell ref="D6:E7"/>
  </mergeCells>
  <pageMargins left="0.393999993801117" right="0.393999993801117" top="0.59100002050399802" bottom="0.59100002050399802" header="0" footer="0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Krycí list rozpočtu</vt:lpstr>
      <vt:lpstr>VORN</vt:lpstr>
      <vt:lpstr>Rozpočet - objekty</vt:lpstr>
      <vt:lpstr>Stavební rozpočet</vt:lpstr>
      <vt:lpstr>vorn_sum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Franta</cp:lastModifiedBy>
  <dcterms:created xsi:type="dcterms:W3CDTF">2021-06-10T20:06:38Z</dcterms:created>
  <dcterms:modified xsi:type="dcterms:W3CDTF">2025-06-24T05:18:17Z</dcterms:modified>
</cp:coreProperties>
</file>